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ristina\Dropbox\BeatIT\SPF\_Štúdia uskutočniteľnosti Manažment údajov\Na zverejnenie SU_540\"/>
    </mc:Choice>
  </mc:AlternateContent>
  <xr:revisionPtr revIDLastSave="0" documentId="13_ncr:1_{5EF2E38B-B56A-4C7C-A299-2646BAD23EFA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2" i="9" l="1"/>
  <c r="K132" i="9"/>
  <c r="J132" i="9"/>
  <c r="I132" i="9"/>
  <c r="H132" i="9"/>
  <c r="G132" i="9"/>
  <c r="L131" i="9"/>
  <c r="K131" i="9"/>
  <c r="J131" i="9"/>
  <c r="I131" i="9"/>
  <c r="H131" i="9"/>
  <c r="G131" i="9"/>
  <c r="L130" i="9"/>
  <c r="K130" i="9"/>
  <c r="J130" i="9"/>
  <c r="I130" i="9"/>
  <c r="H130" i="9"/>
  <c r="G130" i="9"/>
  <c r="F131" i="9"/>
  <c r="F132" i="9"/>
  <c r="F130" i="9"/>
  <c r="L142" i="9"/>
  <c r="K142" i="9"/>
  <c r="J142" i="9"/>
  <c r="I142" i="9"/>
  <c r="H142" i="9"/>
  <c r="G142" i="9"/>
  <c r="L141" i="9"/>
  <c r="K141" i="9"/>
  <c r="J141" i="9"/>
  <c r="I141" i="9"/>
  <c r="H141" i="9"/>
  <c r="G141" i="9"/>
  <c r="L140" i="9"/>
  <c r="K140" i="9"/>
  <c r="J140" i="9"/>
  <c r="I140" i="9"/>
  <c r="H140" i="9"/>
  <c r="G140" i="9"/>
  <c r="F141" i="9"/>
  <c r="F142" i="9"/>
  <c r="F140" i="9"/>
  <c r="L37" i="9"/>
  <c r="L36" i="9"/>
  <c r="K37" i="9"/>
  <c r="K36" i="9"/>
  <c r="J38" i="9"/>
  <c r="J37" i="9"/>
  <c r="J36" i="9"/>
  <c r="I38" i="9"/>
  <c r="I37" i="9"/>
  <c r="I36" i="9"/>
  <c r="H37" i="9"/>
  <c r="H36" i="9"/>
  <c r="G38" i="9"/>
  <c r="G37" i="9"/>
  <c r="G36" i="9"/>
  <c r="F38" i="9"/>
  <c r="F37" i="9"/>
  <c r="F36" i="9"/>
  <c r="L150" i="9"/>
  <c r="K150" i="9"/>
  <c r="J150" i="9"/>
  <c r="L129" i="9"/>
  <c r="K129" i="9"/>
  <c r="J129" i="9"/>
  <c r="L78" i="9"/>
  <c r="K78" i="9"/>
  <c r="K56" i="9"/>
  <c r="J78" i="9"/>
  <c r="L57" i="9"/>
  <c r="K57" i="9"/>
  <c r="J57" i="9"/>
  <c r="L25" i="9"/>
  <c r="L3" i="9"/>
  <c r="K25" i="9"/>
  <c r="J25" i="9"/>
  <c r="L4" i="9"/>
  <c r="K4" i="9"/>
  <c r="J4" i="9"/>
  <c r="J56" i="9"/>
  <c r="L56" i="9"/>
  <c r="K3" i="9"/>
  <c r="J3" i="9"/>
  <c r="J2" i="20"/>
  <c r="I2" i="20"/>
  <c r="H2" i="20"/>
  <c r="J17" i="20"/>
  <c r="I17" i="20"/>
  <c r="H17" i="20"/>
  <c r="J16" i="20"/>
  <c r="I16" i="20"/>
  <c r="H16" i="20"/>
  <c r="J14" i="20"/>
  <c r="I14" i="20"/>
  <c r="H14" i="20"/>
  <c r="J13" i="20"/>
  <c r="I13" i="20"/>
  <c r="H13" i="20"/>
  <c r="J12" i="20"/>
  <c r="J9" i="20"/>
  <c r="I12" i="20"/>
  <c r="H12" i="20"/>
  <c r="J11" i="20"/>
  <c r="I11" i="20"/>
  <c r="I9" i="20"/>
  <c r="H11" i="20"/>
  <c r="J10" i="20"/>
  <c r="I10" i="20"/>
  <c r="H10" i="20"/>
  <c r="H9" i="20"/>
  <c r="J8" i="20"/>
  <c r="I8" i="20"/>
  <c r="H8" i="20"/>
  <c r="J7" i="20"/>
  <c r="I7" i="20"/>
  <c r="I5" i="20"/>
  <c r="H7" i="20"/>
  <c r="J6" i="20"/>
  <c r="I6" i="20"/>
  <c r="H6" i="20"/>
  <c r="H5" i="20"/>
  <c r="D151" i="14"/>
  <c r="D150" i="14"/>
  <c r="D149" i="14"/>
  <c r="D148" i="14"/>
  <c r="D147" i="14"/>
  <c r="D146" i="14"/>
  <c r="D145" i="14"/>
  <c r="D144" i="14"/>
  <c r="D143" i="14"/>
  <c r="D142" i="14"/>
  <c r="J5" i="20"/>
  <c r="AP12" i="26"/>
  <c r="AH12" i="26"/>
  <c r="AI12" i="26"/>
  <c r="AG12" i="26"/>
  <c r="AP11" i="26"/>
  <c r="AH11" i="26"/>
  <c r="AI11" i="26"/>
  <c r="AG11" i="26"/>
  <c r="AE95" i="19"/>
  <c r="AE94" i="19"/>
  <c r="AE93" i="19"/>
  <c r="AE92" i="19"/>
  <c r="AE91" i="19"/>
  <c r="AE90" i="19"/>
  <c r="AE89" i="19"/>
  <c r="AE88" i="19"/>
  <c r="AE87" i="19"/>
  <c r="AE86" i="19"/>
  <c r="AE85" i="19"/>
  <c r="AE82" i="19"/>
  <c r="AE81" i="19"/>
  <c r="AE80" i="19"/>
  <c r="AE79" i="19"/>
  <c r="AE78" i="19"/>
  <c r="AE77" i="19"/>
  <c r="AE76" i="19"/>
  <c r="AE75" i="19"/>
  <c r="AE74" i="19"/>
  <c r="AE73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1" i="19"/>
  <c r="AE40" i="19"/>
  <c r="AE39" i="19"/>
  <c r="AE38" i="19"/>
  <c r="AE37" i="19"/>
  <c r="AE36" i="19"/>
  <c r="AE35" i="19"/>
  <c r="AG35" i="19"/>
  <c r="AE34" i="19"/>
  <c r="AE33" i="19"/>
  <c r="AE32" i="19"/>
  <c r="AE29" i="19"/>
  <c r="AE28" i="19"/>
  <c r="AE27" i="19"/>
  <c r="AE26" i="19"/>
  <c r="AE25" i="19"/>
  <c r="AE24" i="19"/>
  <c r="AE23" i="19"/>
  <c r="AE22" i="19"/>
  <c r="AE21" i="19"/>
  <c r="AE20" i="19"/>
  <c r="AE19" i="19"/>
  <c r="AE16" i="19"/>
  <c r="AE15" i="19"/>
  <c r="AG15" i="19"/>
  <c r="AE14" i="19"/>
  <c r="AE13" i="19"/>
  <c r="AE12" i="19"/>
  <c r="AE11" i="19"/>
  <c r="AE10" i="19"/>
  <c r="AE9" i="19"/>
  <c r="AE8" i="19"/>
  <c r="AE7" i="19"/>
  <c r="AE6" i="19"/>
  <c r="AE5" i="19"/>
  <c r="AF49" i="19"/>
  <c r="AF56" i="19"/>
  <c r="AF75" i="19"/>
  <c r="AF85" i="19"/>
  <c r="AF87" i="19"/>
  <c r="AF90" i="19"/>
  <c r="AF91" i="19"/>
  <c r="AF93" i="19"/>
  <c r="AF94" i="19"/>
  <c r="AF92" i="19"/>
  <c r="AG92" i="19"/>
  <c r="AF86" i="19"/>
  <c r="AF79" i="19"/>
  <c r="AG79" i="19"/>
  <c r="AF73" i="19"/>
  <c r="AG73" i="19"/>
  <c r="AF66" i="19"/>
  <c r="AF60" i="19"/>
  <c r="AF53" i="19"/>
  <c r="AF48" i="19"/>
  <c r="AF41" i="19"/>
  <c r="AF35" i="19"/>
  <c r="AF28" i="19"/>
  <c r="AG28" i="19"/>
  <c r="AF29" i="19"/>
  <c r="AF22" i="19"/>
  <c r="AG22" i="19"/>
  <c r="AF15" i="19"/>
  <c r="AF9" i="19"/>
  <c r="AG9" i="19"/>
  <c r="AG95" i="19"/>
  <c r="AF95" i="19"/>
  <c r="AG94" i="19"/>
  <c r="AG93" i="19"/>
  <c r="AG91" i="19"/>
  <c r="AG89" i="19"/>
  <c r="AF89" i="19"/>
  <c r="AF88" i="19"/>
  <c r="AG87" i="19"/>
  <c r="AG85" i="19"/>
  <c r="AG82" i="19"/>
  <c r="AF82" i="19"/>
  <c r="AF81" i="19"/>
  <c r="AF80" i="19"/>
  <c r="AG78" i="19"/>
  <c r="AF78" i="19"/>
  <c r="AG77" i="19"/>
  <c r="AF77" i="19"/>
  <c r="AG76" i="19"/>
  <c r="AF76" i="19"/>
  <c r="AF74" i="19"/>
  <c r="AF70" i="19"/>
  <c r="AG69" i="19"/>
  <c r="AF69" i="19"/>
  <c r="AG68" i="19"/>
  <c r="AF68" i="19"/>
  <c r="AF67" i="19"/>
  <c r="AF65" i="19"/>
  <c r="AG64" i="19"/>
  <c r="AF64" i="19"/>
  <c r="AG63" i="19"/>
  <c r="AF63" i="19"/>
  <c r="AG62" i="19"/>
  <c r="AF62" i="19"/>
  <c r="AF61" i="19"/>
  <c r="AG59" i="19"/>
  <c r="AF59" i="19"/>
  <c r="AF55" i="19"/>
  <c r="AG54" i="19"/>
  <c r="AF54" i="19"/>
  <c r="AG52" i="19"/>
  <c r="AF52" i="19"/>
  <c r="AG51" i="19"/>
  <c r="AF51" i="19"/>
  <c r="AF50" i="19"/>
  <c r="E55" i="3"/>
  <c r="E54" i="3"/>
  <c r="E53" i="3"/>
  <c r="E52" i="3"/>
  <c r="E51" i="3"/>
  <c r="E50" i="3"/>
  <c r="E49" i="3"/>
  <c r="E48" i="3"/>
  <c r="E47" i="3"/>
  <c r="E46" i="3"/>
  <c r="D55" i="3"/>
  <c r="D54" i="3"/>
  <c r="D53" i="3"/>
  <c r="D52" i="3"/>
  <c r="D51" i="3"/>
  <c r="D50" i="3"/>
  <c r="D49" i="3"/>
  <c r="D48" i="3"/>
  <c r="D47" i="3"/>
  <c r="D46" i="3"/>
  <c r="A206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E226" i="14"/>
  <c r="E225" i="14"/>
  <c r="E224" i="14"/>
  <c r="E223" i="14"/>
  <c r="E222" i="14"/>
  <c r="E221" i="14"/>
  <c r="E220" i="14"/>
  <c r="E219" i="14"/>
  <c r="E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A173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E193" i="14"/>
  <c r="E192" i="14"/>
  <c r="E191" i="14"/>
  <c r="E190" i="14"/>
  <c r="E189" i="14"/>
  <c r="E188" i="14"/>
  <c r="E187" i="14"/>
  <c r="E186" i="14"/>
  <c r="E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A140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AA25" i="3"/>
  <c r="AA24" i="3"/>
  <c r="AA23" i="3"/>
  <c r="AA22" i="3"/>
  <c r="AA21" i="3"/>
  <c r="AA20" i="3"/>
  <c r="AA19" i="3"/>
  <c r="AA18" i="3"/>
  <c r="AA17" i="3"/>
  <c r="AA16" i="3"/>
  <c r="X25" i="3"/>
  <c r="X24" i="3"/>
  <c r="X23" i="3"/>
  <c r="X22" i="3"/>
  <c r="X21" i="3"/>
  <c r="X20" i="3"/>
  <c r="X19" i="3"/>
  <c r="X18" i="3"/>
  <c r="X17" i="3"/>
  <c r="X16" i="3"/>
  <c r="U25" i="3"/>
  <c r="U24" i="3"/>
  <c r="U23" i="3"/>
  <c r="U22" i="3"/>
  <c r="U21" i="3"/>
  <c r="U20" i="3"/>
  <c r="U19" i="3"/>
  <c r="U18" i="3"/>
  <c r="U17" i="3"/>
  <c r="U16" i="3"/>
  <c r="R25" i="3"/>
  <c r="R24" i="3"/>
  <c r="R23" i="3"/>
  <c r="R22" i="3"/>
  <c r="R21" i="3"/>
  <c r="R20" i="3"/>
  <c r="R19" i="3"/>
  <c r="R18" i="3"/>
  <c r="R17" i="3"/>
  <c r="R16" i="3"/>
  <c r="O25" i="3"/>
  <c r="O24" i="3"/>
  <c r="O23" i="3"/>
  <c r="O22" i="3"/>
  <c r="O21" i="3"/>
  <c r="O20" i="3"/>
  <c r="O19" i="3"/>
  <c r="O18" i="3"/>
  <c r="O17" i="3"/>
  <c r="O16" i="3"/>
  <c r="L25" i="3"/>
  <c r="L24" i="3"/>
  <c r="L23" i="3"/>
  <c r="L22" i="3"/>
  <c r="L21" i="3"/>
  <c r="L20" i="3"/>
  <c r="L19" i="3"/>
  <c r="L18" i="3"/>
  <c r="L17" i="3"/>
  <c r="L16" i="3"/>
  <c r="I23" i="3"/>
  <c r="I24" i="3"/>
  <c r="I25" i="3"/>
  <c r="I22" i="3"/>
  <c r="I21" i="3"/>
  <c r="I20" i="3"/>
  <c r="I19" i="3"/>
  <c r="I18" i="3"/>
  <c r="I17" i="3"/>
  <c r="I16" i="3"/>
  <c r="AG90" i="19"/>
  <c r="AG88" i="19"/>
  <c r="AG86" i="19"/>
  <c r="AG81" i="19"/>
  <c r="AG80" i="19"/>
  <c r="AG75" i="19"/>
  <c r="AG74" i="19"/>
  <c r="AG70" i="19"/>
  <c r="AG67" i="19"/>
  <c r="AG66" i="19"/>
  <c r="AG65" i="19"/>
  <c r="AG61" i="19"/>
  <c r="AG60" i="19"/>
  <c r="AG56" i="19"/>
  <c r="AG55" i="19"/>
  <c r="AG53" i="19"/>
  <c r="AG50" i="19"/>
  <c r="AG49" i="19"/>
  <c r="AG48" i="19"/>
  <c r="AG41" i="19"/>
  <c r="AG29" i="19"/>
  <c r="AA15" i="3"/>
  <c r="AA14" i="3"/>
  <c r="AA13" i="3"/>
  <c r="AA12" i="3"/>
  <c r="AA11" i="3"/>
  <c r="AA10" i="3"/>
  <c r="AA9" i="3"/>
  <c r="AA8" i="3"/>
  <c r="AA7" i="3"/>
  <c r="AA6" i="3"/>
  <c r="X15" i="3"/>
  <c r="X14" i="3"/>
  <c r="X13" i="3"/>
  <c r="X12" i="3"/>
  <c r="X11" i="3"/>
  <c r="X10" i="3"/>
  <c r="X9" i="3"/>
  <c r="X8" i="3"/>
  <c r="X7" i="3"/>
  <c r="X6" i="3"/>
  <c r="U15" i="3"/>
  <c r="U14" i="3"/>
  <c r="U13" i="3"/>
  <c r="U12" i="3"/>
  <c r="U11" i="3"/>
  <c r="U10" i="3"/>
  <c r="U9" i="3"/>
  <c r="U8" i="3"/>
  <c r="U7" i="3"/>
  <c r="U6" i="3"/>
  <c r="R15" i="3"/>
  <c r="R14" i="3"/>
  <c r="R13" i="3"/>
  <c r="R12" i="3"/>
  <c r="R11" i="3"/>
  <c r="R10" i="3"/>
  <c r="R9" i="3"/>
  <c r="R8" i="3"/>
  <c r="R7" i="3"/>
  <c r="R6" i="3"/>
  <c r="O15" i="3"/>
  <c r="O14" i="3"/>
  <c r="O13" i="3"/>
  <c r="O12" i="3"/>
  <c r="O11" i="3"/>
  <c r="O10" i="3"/>
  <c r="O9" i="3"/>
  <c r="O8" i="3"/>
  <c r="O7" i="3"/>
  <c r="O6" i="3"/>
  <c r="L15" i="3"/>
  <c r="L14" i="3"/>
  <c r="L13" i="3"/>
  <c r="L12" i="3"/>
  <c r="L11" i="3"/>
  <c r="L10" i="3"/>
  <c r="L9" i="3"/>
  <c r="L8" i="3"/>
  <c r="L7" i="3"/>
  <c r="L6" i="3"/>
  <c r="I8" i="3"/>
  <c r="I9" i="3"/>
  <c r="F9" i="3"/>
  <c r="I10" i="3"/>
  <c r="I11" i="3"/>
  <c r="I12" i="3"/>
  <c r="I13" i="3"/>
  <c r="I14" i="3"/>
  <c r="I15" i="3"/>
  <c r="I7" i="3"/>
  <c r="I6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E7" i="3"/>
  <c r="D7" i="3"/>
  <c r="E6" i="3"/>
  <c r="D6" i="3"/>
  <c r="Y136" i="3"/>
  <c r="V136" i="3"/>
  <c r="S136" i="3"/>
  <c r="Y135" i="3"/>
  <c r="V135" i="3"/>
  <c r="S135" i="3"/>
  <c r="Y134" i="3"/>
  <c r="V134" i="3"/>
  <c r="S134" i="3"/>
  <c r="Y133" i="3"/>
  <c r="V133" i="3"/>
  <c r="S133" i="3"/>
  <c r="Y132" i="3"/>
  <c r="V132" i="3"/>
  <c r="S132" i="3"/>
  <c r="Y131" i="3"/>
  <c r="V131" i="3"/>
  <c r="S131" i="3"/>
  <c r="Y130" i="3"/>
  <c r="V130" i="3"/>
  <c r="S130" i="3"/>
  <c r="Y129" i="3"/>
  <c r="V129" i="3"/>
  <c r="S129" i="3"/>
  <c r="Y128" i="3"/>
  <c r="V128" i="3"/>
  <c r="S128" i="3"/>
  <c r="Y127" i="3"/>
  <c r="V127" i="3"/>
  <c r="S127" i="3"/>
  <c r="Z126" i="3"/>
  <c r="Y126" i="3"/>
  <c r="W126" i="3"/>
  <c r="V126" i="3"/>
  <c r="U126" i="3"/>
  <c r="T126" i="3"/>
  <c r="S126" i="3"/>
  <c r="Z125" i="3"/>
  <c r="Y125" i="3"/>
  <c r="W125" i="3"/>
  <c r="V125" i="3"/>
  <c r="T125" i="3"/>
  <c r="S125" i="3"/>
  <c r="Z124" i="3"/>
  <c r="Y124" i="3"/>
  <c r="AA124" i="3"/>
  <c r="W124" i="3"/>
  <c r="V124" i="3"/>
  <c r="T124" i="3"/>
  <c r="S124" i="3"/>
  <c r="U124" i="3"/>
  <c r="Z123" i="3"/>
  <c r="Y123" i="3"/>
  <c r="W123" i="3"/>
  <c r="V123" i="3"/>
  <c r="X123" i="3"/>
  <c r="T123" i="3"/>
  <c r="S123" i="3"/>
  <c r="Z122" i="3"/>
  <c r="Y122" i="3"/>
  <c r="AA122" i="3"/>
  <c r="W122" i="3"/>
  <c r="V122" i="3"/>
  <c r="T122" i="3"/>
  <c r="S122" i="3"/>
  <c r="Z121" i="3"/>
  <c r="Y121" i="3"/>
  <c r="W121" i="3"/>
  <c r="V121" i="3"/>
  <c r="X121" i="3"/>
  <c r="T121" i="3"/>
  <c r="S121" i="3"/>
  <c r="Z120" i="3"/>
  <c r="Y120" i="3"/>
  <c r="AA120" i="3"/>
  <c r="W120" i="3"/>
  <c r="V120" i="3"/>
  <c r="T120" i="3"/>
  <c r="S120" i="3"/>
  <c r="U120" i="3"/>
  <c r="Z119" i="3"/>
  <c r="Y119" i="3"/>
  <c r="W119" i="3"/>
  <c r="V119" i="3"/>
  <c r="T119" i="3"/>
  <c r="S119" i="3"/>
  <c r="Z118" i="3"/>
  <c r="Y118" i="3"/>
  <c r="W118" i="3"/>
  <c r="V118" i="3"/>
  <c r="T118" i="3"/>
  <c r="S118" i="3"/>
  <c r="Z117" i="3"/>
  <c r="Y117" i="3"/>
  <c r="W117" i="3"/>
  <c r="V117" i="3"/>
  <c r="T117" i="3"/>
  <c r="S117" i="3"/>
  <c r="Z116" i="3"/>
  <c r="W116" i="3"/>
  <c r="T116" i="3"/>
  <c r="Z115" i="3"/>
  <c r="W115" i="3"/>
  <c r="T115" i="3"/>
  <c r="Z114" i="3"/>
  <c r="W114" i="3"/>
  <c r="T114" i="3"/>
  <c r="Z113" i="3"/>
  <c r="W113" i="3"/>
  <c r="T113" i="3"/>
  <c r="Z112" i="3"/>
  <c r="W112" i="3"/>
  <c r="T112" i="3"/>
  <c r="Z111" i="3"/>
  <c r="W111" i="3"/>
  <c r="T111" i="3"/>
  <c r="Z110" i="3"/>
  <c r="W110" i="3"/>
  <c r="T110" i="3"/>
  <c r="Z109" i="3"/>
  <c r="W109" i="3"/>
  <c r="T109" i="3"/>
  <c r="Z96" i="3"/>
  <c r="Y96" i="3"/>
  <c r="W96" i="3"/>
  <c r="V96" i="3"/>
  <c r="T96" i="3"/>
  <c r="U96" i="3"/>
  <c r="S96" i="3"/>
  <c r="Z95" i="3"/>
  <c r="Y95" i="3"/>
  <c r="W95" i="3"/>
  <c r="V95" i="3"/>
  <c r="T95" i="3"/>
  <c r="S95" i="3"/>
  <c r="Z94" i="3"/>
  <c r="Y94" i="3"/>
  <c r="W94" i="3"/>
  <c r="V94" i="3"/>
  <c r="T94" i="3"/>
  <c r="S94" i="3"/>
  <c r="Z93" i="3"/>
  <c r="Y93" i="3"/>
  <c r="W93" i="3"/>
  <c r="V93" i="3"/>
  <c r="T93" i="3"/>
  <c r="S93" i="3"/>
  <c r="Z92" i="3"/>
  <c r="Y92" i="3"/>
  <c r="W92" i="3"/>
  <c r="V92" i="3"/>
  <c r="T92" i="3"/>
  <c r="U92" i="3"/>
  <c r="S92" i="3"/>
  <c r="Z91" i="3"/>
  <c r="Y91" i="3"/>
  <c r="W91" i="3"/>
  <c r="V91" i="3"/>
  <c r="X91" i="3"/>
  <c r="T91" i="3"/>
  <c r="S91" i="3"/>
  <c r="Z90" i="3"/>
  <c r="Y90" i="3"/>
  <c r="W90" i="3"/>
  <c r="V90" i="3"/>
  <c r="T90" i="3"/>
  <c r="S90" i="3"/>
  <c r="Z89" i="3"/>
  <c r="Y89" i="3"/>
  <c r="W89" i="3"/>
  <c r="V89" i="3"/>
  <c r="X89" i="3"/>
  <c r="T89" i="3"/>
  <c r="S89" i="3"/>
  <c r="Z88" i="3"/>
  <c r="Y88" i="3"/>
  <c r="AA88" i="3"/>
  <c r="W88" i="3"/>
  <c r="V88" i="3"/>
  <c r="T88" i="3"/>
  <c r="S88" i="3"/>
  <c r="Z87" i="3"/>
  <c r="Y87" i="3"/>
  <c r="W87" i="3"/>
  <c r="V87" i="3"/>
  <c r="T87" i="3"/>
  <c r="S87" i="3"/>
  <c r="Y86" i="3"/>
  <c r="V86" i="3"/>
  <c r="S86" i="3"/>
  <c r="Y85" i="3"/>
  <c r="V85" i="3"/>
  <c r="S85" i="3"/>
  <c r="Y84" i="3"/>
  <c r="V84" i="3"/>
  <c r="S84" i="3"/>
  <c r="Y83" i="3"/>
  <c r="V83" i="3"/>
  <c r="S83" i="3"/>
  <c r="Y82" i="3"/>
  <c r="V82" i="3"/>
  <c r="S82" i="3"/>
  <c r="Y81" i="3"/>
  <c r="V81" i="3"/>
  <c r="S81" i="3"/>
  <c r="Y80" i="3"/>
  <c r="V80" i="3"/>
  <c r="S80" i="3"/>
  <c r="Y79" i="3"/>
  <c r="V79" i="3"/>
  <c r="S79" i="3"/>
  <c r="Y78" i="3"/>
  <c r="V78" i="3"/>
  <c r="S78" i="3"/>
  <c r="Y77" i="3"/>
  <c r="V77" i="3"/>
  <c r="S77" i="3"/>
  <c r="Y76" i="3"/>
  <c r="V76" i="3"/>
  <c r="S76" i="3"/>
  <c r="Y75" i="3"/>
  <c r="V75" i="3"/>
  <c r="S75" i="3"/>
  <c r="Y74" i="3"/>
  <c r="V74" i="3"/>
  <c r="S74" i="3"/>
  <c r="Y73" i="3"/>
  <c r="V73" i="3"/>
  <c r="S73" i="3"/>
  <c r="Y72" i="3"/>
  <c r="V72" i="3"/>
  <c r="S72" i="3"/>
  <c r="Y71" i="3"/>
  <c r="V71" i="3"/>
  <c r="S71" i="3"/>
  <c r="Y70" i="3"/>
  <c r="V70" i="3"/>
  <c r="S70" i="3"/>
  <c r="Y69" i="3"/>
  <c r="V69" i="3"/>
  <c r="S69" i="3"/>
  <c r="Y68" i="3"/>
  <c r="V68" i="3"/>
  <c r="S68" i="3"/>
  <c r="Y67" i="3"/>
  <c r="V67" i="3"/>
  <c r="S67" i="3"/>
  <c r="AA65" i="3"/>
  <c r="X65" i="3"/>
  <c r="U65" i="3"/>
  <c r="AA64" i="3"/>
  <c r="X64" i="3"/>
  <c r="U64" i="3"/>
  <c r="AA63" i="3"/>
  <c r="X63" i="3"/>
  <c r="U63" i="3"/>
  <c r="AA62" i="3"/>
  <c r="X62" i="3"/>
  <c r="U62" i="3"/>
  <c r="AA61" i="3"/>
  <c r="X61" i="3"/>
  <c r="U61" i="3"/>
  <c r="AA60" i="3"/>
  <c r="X60" i="3"/>
  <c r="U60" i="3"/>
  <c r="AA59" i="3"/>
  <c r="X59" i="3"/>
  <c r="U59" i="3"/>
  <c r="AA58" i="3"/>
  <c r="X58" i="3"/>
  <c r="U58" i="3"/>
  <c r="AA57" i="3"/>
  <c r="X57" i="3"/>
  <c r="U57" i="3"/>
  <c r="AA56" i="3"/>
  <c r="X56" i="3"/>
  <c r="U56" i="3"/>
  <c r="Y116" i="3"/>
  <c r="AA116" i="3"/>
  <c r="S116" i="3"/>
  <c r="U116" i="3"/>
  <c r="V115" i="3"/>
  <c r="Y114" i="3"/>
  <c r="AA114" i="3"/>
  <c r="S114" i="3"/>
  <c r="U114" i="3"/>
  <c r="V113" i="3"/>
  <c r="X113" i="3"/>
  <c r="Y112" i="3"/>
  <c r="S112" i="3"/>
  <c r="U112" i="3"/>
  <c r="V111" i="3"/>
  <c r="X111" i="3"/>
  <c r="Y110" i="3"/>
  <c r="AA110" i="3"/>
  <c r="S110" i="3"/>
  <c r="V109" i="3"/>
  <c r="X109" i="3"/>
  <c r="Z108" i="3"/>
  <c r="Y108" i="3"/>
  <c r="V108" i="3"/>
  <c r="S108" i="3"/>
  <c r="W107" i="3"/>
  <c r="V107" i="3"/>
  <c r="S107" i="3"/>
  <c r="Y4" i="3"/>
  <c r="V4" i="3"/>
  <c r="S4" i="3"/>
  <c r="Y3" i="3"/>
  <c r="V3" i="3"/>
  <c r="S3" i="3"/>
  <c r="AA87" i="3"/>
  <c r="AA89" i="3"/>
  <c r="AA90" i="3"/>
  <c r="X90" i="3"/>
  <c r="X96" i="3"/>
  <c r="U88" i="3"/>
  <c r="AA123" i="3"/>
  <c r="X119" i="3"/>
  <c r="U125" i="3"/>
  <c r="U117" i="3"/>
  <c r="U121" i="3"/>
  <c r="U122" i="3"/>
  <c r="F13" i="3"/>
  <c r="AA119" i="3"/>
  <c r="X93" i="3"/>
  <c r="X122" i="3"/>
  <c r="X118" i="3"/>
  <c r="F12" i="3"/>
  <c r="F15" i="3"/>
  <c r="F11" i="3"/>
  <c r="F14" i="3"/>
  <c r="F10" i="3"/>
  <c r="F6" i="3"/>
  <c r="F7" i="3"/>
  <c r="F8" i="3"/>
  <c r="X92" i="3"/>
  <c r="U93" i="3"/>
  <c r="U95" i="3"/>
  <c r="X125" i="3"/>
  <c r="X126" i="3"/>
  <c r="U94" i="3"/>
  <c r="AA94" i="3"/>
  <c r="X95" i="3"/>
  <c r="AA126" i="3"/>
  <c r="U87" i="3"/>
  <c r="X117" i="3"/>
  <c r="U118" i="3"/>
  <c r="AA118" i="3"/>
  <c r="U110" i="3"/>
  <c r="AA112" i="3"/>
  <c r="X115" i="3"/>
  <c r="X87" i="3"/>
  <c r="X88" i="3"/>
  <c r="U89" i="3"/>
  <c r="AA92" i="3"/>
  <c r="AA93" i="3"/>
  <c r="X94" i="3"/>
  <c r="AA96" i="3"/>
  <c r="AA117" i="3"/>
  <c r="X120" i="3"/>
  <c r="U123" i="3"/>
  <c r="AA125" i="3"/>
  <c r="X107" i="3"/>
  <c r="AA108" i="3"/>
  <c r="U90" i="3"/>
  <c r="U91" i="3"/>
  <c r="AA91" i="3"/>
  <c r="AA95" i="3"/>
  <c r="U119" i="3"/>
  <c r="AA121" i="3"/>
  <c r="X124" i="3"/>
  <c r="S113" i="3"/>
  <c r="U113" i="3"/>
  <c r="Y109" i="3"/>
  <c r="AA109" i="3"/>
  <c r="V112" i="3"/>
  <c r="X112" i="3"/>
  <c r="S109" i="3"/>
  <c r="U109" i="3"/>
  <c r="Y111" i="3"/>
  <c r="AA111" i="3"/>
  <c r="V114" i="3"/>
  <c r="X114" i="3"/>
  <c r="S111" i="3"/>
  <c r="U111" i="3"/>
  <c r="Y113" i="3"/>
  <c r="AA113" i="3"/>
  <c r="V116" i="3"/>
  <c r="X116" i="3"/>
  <c r="Y107" i="3"/>
  <c r="V110" i="3"/>
  <c r="X110" i="3"/>
  <c r="Y115" i="3"/>
  <c r="AA115" i="3"/>
  <c r="S115" i="3"/>
  <c r="U115" i="3"/>
  <c r="T108" i="3"/>
  <c r="U108" i="3"/>
  <c r="Z107" i="3"/>
  <c r="AA107" i="3"/>
  <c r="T107" i="3"/>
  <c r="U107" i="3"/>
  <c r="J4" i="20"/>
  <c r="J3" i="20"/>
  <c r="W108" i="3"/>
  <c r="X108" i="3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O14" i="26"/>
  <c r="AN14" i="26"/>
  <c r="AM14" i="26"/>
  <c r="AF14" i="26"/>
  <c r="AE14" i="26"/>
  <c r="AD14" i="26"/>
  <c r="AC14" i="26"/>
  <c r="AP13" i="26"/>
  <c r="AH13" i="26"/>
  <c r="AG13" i="26"/>
  <c r="AP10" i="26"/>
  <c r="AH10" i="26"/>
  <c r="AG10" i="26"/>
  <c r="AP9" i="26"/>
  <c r="AH9" i="26"/>
  <c r="AG9" i="26"/>
  <c r="AP8" i="26"/>
  <c r="AH8" i="26"/>
  <c r="AG8" i="26"/>
  <c r="AI8" i="26"/>
  <c r="AP7" i="26"/>
  <c r="AH7" i="26"/>
  <c r="AG7" i="26"/>
  <c r="AP6" i="26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AG47" i="19"/>
  <c r="AF47" i="19"/>
  <c r="AG46" i="19"/>
  <c r="AF46" i="19"/>
  <c r="AG45" i="19"/>
  <c r="AF45" i="19"/>
  <c r="AG44" i="19"/>
  <c r="AF44" i="19"/>
  <c r="AG40" i="19"/>
  <c r="AF40" i="19"/>
  <c r="AG39" i="19"/>
  <c r="AF39" i="19"/>
  <c r="AG38" i="19"/>
  <c r="AF38" i="19"/>
  <c r="AG37" i="19"/>
  <c r="AF37" i="19"/>
  <c r="AG36" i="19"/>
  <c r="AF36" i="19"/>
  <c r="AG34" i="19"/>
  <c r="AF34" i="19"/>
  <c r="AG33" i="19"/>
  <c r="AF33" i="19"/>
  <c r="AG32" i="19"/>
  <c r="AF32" i="19"/>
  <c r="AG27" i="19"/>
  <c r="AF27" i="19"/>
  <c r="AG26" i="19"/>
  <c r="AF26" i="19"/>
  <c r="AG25" i="19"/>
  <c r="AF25" i="19"/>
  <c r="AG24" i="19"/>
  <c r="AF24" i="19"/>
  <c r="AG23" i="19"/>
  <c r="AF23" i="19"/>
  <c r="AG21" i="19"/>
  <c r="AF21" i="19"/>
  <c r="AG20" i="19"/>
  <c r="AF20" i="19"/>
  <c r="AG19" i="19"/>
  <c r="AF19" i="19"/>
  <c r="AG16" i="19"/>
  <c r="AF16" i="19"/>
  <c r="AG14" i="19"/>
  <c r="AF14" i="19"/>
  <c r="AG13" i="19"/>
  <c r="AF13" i="19"/>
  <c r="AG12" i="19"/>
  <c r="AF12" i="19"/>
  <c r="AG11" i="19"/>
  <c r="AF11" i="19"/>
  <c r="AG10" i="19"/>
  <c r="AF10" i="19"/>
  <c r="AG8" i="19"/>
  <c r="AF8" i="19"/>
  <c r="AG7" i="19"/>
  <c r="AF7" i="19"/>
  <c r="AG6" i="19"/>
  <c r="AF6" i="19"/>
  <c r="AG5" i="19"/>
  <c r="AF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J13" i="11"/>
  <c r="J42" i="11"/>
  <c r="E40" i="10"/>
  <c r="E39" i="10"/>
  <c r="E38" i="10"/>
  <c r="E37" i="10"/>
  <c r="F13" i="11"/>
  <c r="F42" i="11"/>
  <c r="E36" i="10"/>
  <c r="E35" i="10"/>
  <c r="K34" i="10"/>
  <c r="J34" i="10"/>
  <c r="I34" i="10"/>
  <c r="V12" i="20"/>
  <c r="H34" i="10"/>
  <c r="U12" i="20"/>
  <c r="G34" i="10"/>
  <c r="T12" i="20"/>
  <c r="F34" i="10"/>
  <c r="S12" i="20"/>
  <c r="X12" i="2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H12" i="11"/>
  <c r="H41" i="11"/>
  <c r="E17" i="10"/>
  <c r="E16" i="10"/>
  <c r="E15" i="10"/>
  <c r="E14" i="10"/>
  <c r="E13" i="10"/>
  <c r="E12" i="10"/>
  <c r="E11" i="10"/>
  <c r="K12" i="11"/>
  <c r="K41" i="11"/>
  <c r="E10" i="10"/>
  <c r="J12" i="11"/>
  <c r="J41" i="11"/>
  <c r="E9" i="10"/>
  <c r="E8" i="10"/>
  <c r="E7" i="10"/>
  <c r="E6" i="10"/>
  <c r="F12" i="11"/>
  <c r="F41" i="11"/>
  <c r="E5" i="10"/>
  <c r="E4" i="10"/>
  <c r="K3" i="10"/>
  <c r="J3" i="10"/>
  <c r="I3" i="10"/>
  <c r="V8" i="20"/>
  <c r="H3" i="10"/>
  <c r="U8" i="20"/>
  <c r="G3" i="10"/>
  <c r="T8" i="20"/>
  <c r="F3" i="10"/>
  <c r="S8" i="20"/>
  <c r="X8" i="20"/>
  <c r="E170" i="9"/>
  <c r="E169" i="9"/>
  <c r="E168" i="9"/>
  <c r="E167" i="9"/>
  <c r="E166" i="9"/>
  <c r="E165" i="9"/>
  <c r="E164" i="9"/>
  <c r="E163" i="9"/>
  <c r="E162" i="9"/>
  <c r="E161" i="9"/>
  <c r="E160" i="9"/>
  <c r="M11" i="11"/>
  <c r="E159" i="9"/>
  <c r="L11" i="11"/>
  <c r="E158" i="9"/>
  <c r="E157" i="9"/>
  <c r="E156" i="9"/>
  <c r="I11" i="11"/>
  <c r="E155" i="9"/>
  <c r="H11" i="11"/>
  <c r="E154" i="9"/>
  <c r="E153" i="9"/>
  <c r="E152" i="9"/>
  <c r="E11" i="11"/>
  <c r="E40" i="11"/>
  <c r="E151" i="9"/>
  <c r="D11" i="11"/>
  <c r="M150" i="9"/>
  <c r="I150" i="9"/>
  <c r="V14" i="20"/>
  <c r="H150" i="9"/>
  <c r="G150" i="9"/>
  <c r="F150" i="9"/>
  <c r="E149" i="9"/>
  <c r="E148" i="9"/>
  <c r="E147" i="9"/>
  <c r="K14" i="11"/>
  <c r="E146" i="9"/>
  <c r="E145" i="9"/>
  <c r="E144" i="9"/>
  <c r="E143" i="9"/>
  <c r="G14" i="11"/>
  <c r="G43" i="11"/>
  <c r="E142" i="9"/>
  <c r="E141" i="9"/>
  <c r="E140" i="9"/>
  <c r="E139" i="9"/>
  <c r="M14" i="11"/>
  <c r="E138" i="9"/>
  <c r="E137" i="9"/>
  <c r="E136" i="9"/>
  <c r="J14" i="11"/>
  <c r="E135" i="9"/>
  <c r="I14" i="11"/>
  <c r="I43" i="11"/>
  <c r="E134" i="9"/>
  <c r="E133" i="9"/>
  <c r="E132" i="9"/>
  <c r="E131" i="9"/>
  <c r="E14" i="11"/>
  <c r="E130" i="9"/>
  <c r="M129" i="9"/>
  <c r="I129" i="9"/>
  <c r="V13" i="20"/>
  <c r="H129" i="9"/>
  <c r="U13" i="20"/>
  <c r="G129" i="9"/>
  <c r="T13" i="20"/>
  <c r="F129" i="9"/>
  <c r="S13" i="20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M10" i="11"/>
  <c r="E87" i="9"/>
  <c r="L10" i="11"/>
  <c r="E86" i="9"/>
  <c r="E85" i="9"/>
  <c r="E84" i="9"/>
  <c r="I10" i="11"/>
  <c r="E83" i="9"/>
  <c r="H10" i="11"/>
  <c r="E82" i="9"/>
  <c r="E81" i="9"/>
  <c r="E80" i="9"/>
  <c r="E10" i="11"/>
  <c r="E79" i="9"/>
  <c r="D10" i="11"/>
  <c r="D39" i="11"/>
  <c r="M78" i="9"/>
  <c r="W10" i="20"/>
  <c r="I78" i="9"/>
  <c r="V10" i="20"/>
  <c r="V9" i="20"/>
  <c r="H78" i="9"/>
  <c r="U10" i="20"/>
  <c r="G78" i="9"/>
  <c r="T10" i="20"/>
  <c r="T9" i="20"/>
  <c r="F78" i="9"/>
  <c r="S10" i="20"/>
  <c r="E77" i="9"/>
  <c r="E76" i="9"/>
  <c r="E75" i="9"/>
  <c r="K8" i="11"/>
  <c r="K37" i="11"/>
  <c r="E74" i="9"/>
  <c r="E73" i="9"/>
  <c r="E72" i="9"/>
  <c r="E71" i="9"/>
  <c r="G8" i="11"/>
  <c r="G37" i="11"/>
  <c r="E70" i="9"/>
  <c r="E69" i="9"/>
  <c r="E68" i="9"/>
  <c r="E67" i="9"/>
  <c r="M8" i="11"/>
  <c r="M37" i="11"/>
  <c r="E66" i="9"/>
  <c r="E65" i="9"/>
  <c r="E64" i="9"/>
  <c r="E63" i="9"/>
  <c r="I8" i="11"/>
  <c r="I37" i="11"/>
  <c r="E62" i="9"/>
  <c r="E61" i="9"/>
  <c r="E60" i="9"/>
  <c r="E59" i="9"/>
  <c r="E8" i="11"/>
  <c r="E37" i="11"/>
  <c r="E58" i="9"/>
  <c r="M57" i="9"/>
  <c r="I57" i="9"/>
  <c r="V11" i="20"/>
  <c r="H57" i="9"/>
  <c r="U11" i="20"/>
  <c r="G57" i="9"/>
  <c r="T11" i="20"/>
  <c r="F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K9" i="11"/>
  <c r="K38" i="11"/>
  <c r="E42" i="9"/>
  <c r="J9" i="11"/>
  <c r="J38" i="11"/>
  <c r="E41" i="9"/>
  <c r="E40" i="9"/>
  <c r="E39" i="9"/>
  <c r="G9" i="11"/>
  <c r="G38" i="11"/>
  <c r="E38" i="9"/>
  <c r="E37" i="9"/>
  <c r="E36" i="9"/>
  <c r="E35" i="9"/>
  <c r="M9" i="11"/>
  <c r="M38" i="11"/>
  <c r="E34" i="9"/>
  <c r="E33" i="9"/>
  <c r="E32" i="9"/>
  <c r="E31" i="9"/>
  <c r="E30" i="9"/>
  <c r="E29" i="9"/>
  <c r="E28" i="9"/>
  <c r="E27" i="9"/>
  <c r="E26" i="9"/>
  <c r="M25" i="9"/>
  <c r="W6" i="20"/>
  <c r="I25" i="9"/>
  <c r="V6" i="20"/>
  <c r="H25" i="9"/>
  <c r="U6" i="20"/>
  <c r="G25" i="9"/>
  <c r="T6" i="20"/>
  <c r="T5" i="20"/>
  <c r="F25" i="9"/>
  <c r="S6" i="20"/>
  <c r="E24" i="9"/>
  <c r="E23" i="9"/>
  <c r="E22" i="9"/>
  <c r="E21" i="9"/>
  <c r="E20" i="9"/>
  <c r="E19" i="9"/>
  <c r="E18" i="9"/>
  <c r="G7" i="11"/>
  <c r="G36" i="11"/>
  <c r="E17" i="9"/>
  <c r="E16" i="9"/>
  <c r="E15" i="9"/>
  <c r="E14" i="9"/>
  <c r="M7" i="11"/>
  <c r="M36" i="11"/>
  <c r="E13" i="9"/>
  <c r="E12" i="9"/>
  <c r="E11" i="9"/>
  <c r="E10" i="9"/>
  <c r="I7" i="11"/>
  <c r="I36" i="11"/>
  <c r="E9" i="9"/>
  <c r="E8" i="9"/>
  <c r="E7" i="9"/>
  <c r="E6" i="9"/>
  <c r="E5" i="9"/>
  <c r="M4" i="9"/>
  <c r="I4" i="9"/>
  <c r="V7" i="20"/>
  <c r="H4" i="9"/>
  <c r="U7" i="20"/>
  <c r="G4" i="9"/>
  <c r="T7" i="20"/>
  <c r="F4" i="9"/>
  <c r="E3" i="18"/>
  <c r="E25" i="17"/>
  <c r="E4" i="17"/>
  <c r="M27" i="11"/>
  <c r="L27" i="11"/>
  <c r="K27" i="11"/>
  <c r="J27" i="11"/>
  <c r="I27" i="11"/>
  <c r="B9" i="6"/>
  <c r="H27" i="11"/>
  <c r="G27" i="11"/>
  <c r="F27" i="11"/>
  <c r="E27" i="11"/>
  <c r="B5" i="6"/>
  <c r="D27" i="11"/>
  <c r="M25" i="11"/>
  <c r="H13" i="6"/>
  <c r="L25" i="11"/>
  <c r="H12" i="6"/>
  <c r="K25" i="11"/>
  <c r="H11" i="6"/>
  <c r="J25" i="11"/>
  <c r="I25" i="11"/>
  <c r="H9" i="6"/>
  <c r="H25" i="11"/>
  <c r="H8" i="6"/>
  <c r="G25" i="11"/>
  <c r="H7" i="6"/>
  <c r="F25" i="11"/>
  <c r="H6" i="6"/>
  <c r="E25" i="11"/>
  <c r="H5" i="6"/>
  <c r="D25" i="11"/>
  <c r="H4" i="6"/>
  <c r="M23" i="11"/>
  <c r="L23" i="11"/>
  <c r="K23" i="11"/>
  <c r="J23" i="11"/>
  <c r="I23" i="11"/>
  <c r="H23" i="11"/>
  <c r="G23" i="11"/>
  <c r="F23" i="11"/>
  <c r="E23" i="11"/>
  <c r="D23" i="11"/>
  <c r="F14" i="11"/>
  <c r="F43" i="11"/>
  <c r="M13" i="11"/>
  <c r="H13" i="11"/>
  <c r="H42" i="11"/>
  <c r="D13" i="11"/>
  <c r="D42" i="11"/>
  <c r="L12" i="11"/>
  <c r="L41" i="11"/>
  <c r="G12" i="11"/>
  <c r="G41" i="11"/>
  <c r="F11" i="11"/>
  <c r="F40" i="11"/>
  <c r="I9" i="11"/>
  <c r="I38" i="11"/>
  <c r="E7" i="11"/>
  <c r="E36" i="1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P132" i="3"/>
  <c r="M132" i="3"/>
  <c r="J132" i="3"/>
  <c r="G132" i="3"/>
  <c r="P131" i="3"/>
  <c r="M131" i="3"/>
  <c r="J131" i="3"/>
  <c r="D131" i="3"/>
  <c r="K8" i="4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AB127" i="3"/>
  <c r="P127" i="3"/>
  <c r="M127" i="3"/>
  <c r="J127" i="3"/>
  <c r="G127" i="3"/>
  <c r="Q126" i="3"/>
  <c r="P126" i="3"/>
  <c r="N126" i="3"/>
  <c r="M126" i="3"/>
  <c r="K126" i="3"/>
  <c r="J126" i="3"/>
  <c r="H126" i="3"/>
  <c r="G126" i="3"/>
  <c r="Q125" i="3"/>
  <c r="P125" i="3"/>
  <c r="N125" i="3"/>
  <c r="M125" i="3"/>
  <c r="K125" i="3"/>
  <c r="J125" i="3"/>
  <c r="H125" i="3"/>
  <c r="G125" i="3"/>
  <c r="Q124" i="3"/>
  <c r="P124" i="3"/>
  <c r="N124" i="3"/>
  <c r="M124" i="3"/>
  <c r="K124" i="3"/>
  <c r="J124" i="3"/>
  <c r="L124" i="3"/>
  <c r="H124" i="3"/>
  <c r="G124" i="3"/>
  <c r="Q123" i="3"/>
  <c r="P123" i="3"/>
  <c r="N123" i="3"/>
  <c r="M123" i="3"/>
  <c r="K123" i="3"/>
  <c r="J123" i="3"/>
  <c r="H123" i="3"/>
  <c r="G123" i="3"/>
  <c r="Q122" i="3"/>
  <c r="P122" i="3"/>
  <c r="N122" i="3"/>
  <c r="M122" i="3"/>
  <c r="K122" i="3"/>
  <c r="J122" i="3"/>
  <c r="H122" i="3"/>
  <c r="G122" i="3"/>
  <c r="Q121" i="3"/>
  <c r="P121" i="3"/>
  <c r="N121" i="3"/>
  <c r="M121" i="3"/>
  <c r="K121" i="3"/>
  <c r="J121" i="3"/>
  <c r="H121" i="3"/>
  <c r="G121" i="3"/>
  <c r="Q120" i="3"/>
  <c r="P120" i="3"/>
  <c r="N120" i="3"/>
  <c r="M120" i="3"/>
  <c r="K120" i="3"/>
  <c r="J120" i="3"/>
  <c r="H120" i="3"/>
  <c r="G120" i="3"/>
  <c r="Q119" i="3"/>
  <c r="P119" i="3"/>
  <c r="N119" i="3"/>
  <c r="O119" i="3"/>
  <c r="M119" i="3"/>
  <c r="K119" i="3"/>
  <c r="J119" i="3"/>
  <c r="H119" i="3"/>
  <c r="G119" i="3"/>
  <c r="Q118" i="3"/>
  <c r="P118" i="3"/>
  <c r="N118" i="3"/>
  <c r="M118" i="3"/>
  <c r="K118" i="3"/>
  <c r="J118" i="3"/>
  <c r="H118" i="3"/>
  <c r="G118" i="3"/>
  <c r="Q117" i="3"/>
  <c r="P117" i="3"/>
  <c r="N117" i="3"/>
  <c r="M117" i="3"/>
  <c r="K117" i="3"/>
  <c r="E117" i="3"/>
  <c r="C4" i="4"/>
  <c r="J117" i="3"/>
  <c r="H117" i="3"/>
  <c r="G117" i="3"/>
  <c r="I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D106" i="3"/>
  <c r="D105" i="3"/>
  <c r="D104" i="3"/>
  <c r="D103" i="3"/>
  <c r="D102" i="3"/>
  <c r="D101" i="3"/>
  <c r="D100" i="3"/>
  <c r="D99" i="3"/>
  <c r="D98" i="3"/>
  <c r="D97" i="3"/>
  <c r="Q96" i="3"/>
  <c r="D118" i="14"/>
  <c r="P96" i="3"/>
  <c r="N96" i="3"/>
  <c r="M96" i="3"/>
  <c r="O96" i="3"/>
  <c r="K96" i="3"/>
  <c r="J96" i="3"/>
  <c r="H96" i="3"/>
  <c r="G96" i="3"/>
  <c r="Q95" i="3"/>
  <c r="P95" i="3"/>
  <c r="N95" i="3"/>
  <c r="M95" i="3"/>
  <c r="K95" i="3"/>
  <c r="J95" i="3"/>
  <c r="H95" i="3"/>
  <c r="G95" i="3"/>
  <c r="Q94" i="3"/>
  <c r="P94" i="3"/>
  <c r="N94" i="3"/>
  <c r="M94" i="3"/>
  <c r="K94" i="3"/>
  <c r="D46" i="14"/>
  <c r="J94" i="3"/>
  <c r="H94" i="3"/>
  <c r="G94" i="3"/>
  <c r="Q93" i="3"/>
  <c r="P93" i="3"/>
  <c r="N93" i="3"/>
  <c r="M93" i="3"/>
  <c r="K93" i="3"/>
  <c r="J93" i="3"/>
  <c r="H93" i="3"/>
  <c r="G93" i="3"/>
  <c r="Q92" i="3"/>
  <c r="D114" i="14"/>
  <c r="P92" i="3"/>
  <c r="N92" i="3"/>
  <c r="M92" i="3"/>
  <c r="K92" i="3"/>
  <c r="J92" i="3"/>
  <c r="H92" i="3"/>
  <c r="G92" i="3"/>
  <c r="Q91" i="3"/>
  <c r="P91" i="3"/>
  <c r="R91" i="3"/>
  <c r="N91" i="3"/>
  <c r="M91" i="3"/>
  <c r="K91" i="3"/>
  <c r="J91" i="3"/>
  <c r="H91" i="3"/>
  <c r="G91" i="3"/>
  <c r="Q90" i="3"/>
  <c r="P90" i="3"/>
  <c r="N90" i="3"/>
  <c r="M90" i="3"/>
  <c r="K90" i="3"/>
  <c r="D42" i="14"/>
  <c r="J90" i="3"/>
  <c r="H90" i="3"/>
  <c r="G90" i="3"/>
  <c r="Q89" i="3"/>
  <c r="P89" i="3"/>
  <c r="N89" i="3"/>
  <c r="M89" i="3"/>
  <c r="K89" i="3"/>
  <c r="J89" i="3"/>
  <c r="H89" i="3"/>
  <c r="G89" i="3"/>
  <c r="Q88" i="3"/>
  <c r="D110" i="14"/>
  <c r="P88" i="3"/>
  <c r="N88" i="3"/>
  <c r="M88" i="3"/>
  <c r="K88" i="3"/>
  <c r="J88" i="3"/>
  <c r="H88" i="3"/>
  <c r="G88" i="3"/>
  <c r="Q87" i="3"/>
  <c r="P87" i="3"/>
  <c r="N87" i="3"/>
  <c r="M87" i="3"/>
  <c r="K87" i="3"/>
  <c r="J87" i="3"/>
  <c r="H87" i="3"/>
  <c r="G87" i="3"/>
  <c r="P86" i="3"/>
  <c r="M86" i="3"/>
  <c r="G86" i="3"/>
  <c r="P85" i="3"/>
  <c r="M85" i="3"/>
  <c r="G85" i="3"/>
  <c r="P84" i="3"/>
  <c r="J84" i="3"/>
  <c r="G84" i="3"/>
  <c r="P83" i="3"/>
  <c r="J83" i="3"/>
  <c r="G83" i="3"/>
  <c r="P82" i="3"/>
  <c r="J82" i="3"/>
  <c r="G82" i="3"/>
  <c r="P81" i="3"/>
  <c r="J81" i="3"/>
  <c r="G81" i="3"/>
  <c r="P80" i="3"/>
  <c r="J80" i="3"/>
  <c r="G80" i="3"/>
  <c r="P79" i="3"/>
  <c r="J79" i="3"/>
  <c r="G79" i="3"/>
  <c r="P78" i="3"/>
  <c r="J78" i="3"/>
  <c r="G78" i="3"/>
  <c r="P77" i="3"/>
  <c r="J77" i="3"/>
  <c r="G77" i="3"/>
  <c r="P76" i="3"/>
  <c r="M76" i="3"/>
  <c r="J76" i="3"/>
  <c r="G76" i="3"/>
  <c r="P75" i="3"/>
  <c r="M75" i="3"/>
  <c r="J75" i="3"/>
  <c r="G75" i="3"/>
  <c r="P74" i="3"/>
  <c r="M74" i="3"/>
  <c r="J74" i="3"/>
  <c r="G74" i="3"/>
  <c r="P73" i="3"/>
  <c r="M73" i="3"/>
  <c r="J73" i="3"/>
  <c r="G73" i="3"/>
  <c r="P72" i="3"/>
  <c r="M72" i="3"/>
  <c r="J72" i="3"/>
  <c r="G72" i="3"/>
  <c r="P71" i="3"/>
  <c r="M71" i="3"/>
  <c r="J71" i="3"/>
  <c r="G71" i="3"/>
  <c r="P70" i="3"/>
  <c r="M70" i="3"/>
  <c r="J70" i="3"/>
  <c r="G70" i="3"/>
  <c r="P69" i="3"/>
  <c r="M69" i="3"/>
  <c r="J69" i="3"/>
  <c r="G69" i="3"/>
  <c r="P68" i="3"/>
  <c r="M68" i="3"/>
  <c r="J68" i="3"/>
  <c r="G68" i="3"/>
  <c r="AB67" i="3"/>
  <c r="P67" i="3"/>
  <c r="M67" i="3"/>
  <c r="J67" i="3"/>
  <c r="G6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R56" i="3"/>
  <c r="O56" i="3"/>
  <c r="L56" i="3"/>
  <c r="I56" i="3"/>
  <c r="E56" i="3"/>
  <c r="D56" i="3"/>
  <c r="AB46" i="3"/>
  <c r="AB36" i="3"/>
  <c r="P116" i="3"/>
  <c r="J116" i="3"/>
  <c r="L116" i="3"/>
  <c r="G116" i="3"/>
  <c r="M115" i="3"/>
  <c r="J115" i="3"/>
  <c r="G115" i="3"/>
  <c r="P114" i="3"/>
  <c r="M113" i="3"/>
  <c r="J113" i="3"/>
  <c r="G113" i="3"/>
  <c r="J112" i="3"/>
  <c r="G112" i="3"/>
  <c r="P111" i="3"/>
  <c r="M111" i="3"/>
  <c r="P110" i="3"/>
  <c r="G110" i="3"/>
  <c r="G109" i="3"/>
  <c r="P108" i="3"/>
  <c r="J108" i="3"/>
  <c r="H108" i="3"/>
  <c r="G108" i="3"/>
  <c r="P107" i="3"/>
  <c r="J107" i="3"/>
  <c r="P4" i="3"/>
  <c r="M4" i="3"/>
  <c r="J4" i="3"/>
  <c r="G4" i="3"/>
  <c r="P3" i="3"/>
  <c r="M3" i="3"/>
  <c r="J3" i="3"/>
  <c r="G3" i="3"/>
  <c r="N14" i="6"/>
  <c r="K14" i="6"/>
  <c r="B13" i="6"/>
  <c r="E12" i="6"/>
  <c r="B12" i="6"/>
  <c r="E11" i="6"/>
  <c r="B11" i="6"/>
  <c r="H10" i="6"/>
  <c r="E10" i="6"/>
  <c r="B10" i="6"/>
  <c r="E8" i="6"/>
  <c r="B8" i="6"/>
  <c r="O7" i="6"/>
  <c r="P7" i="6"/>
  <c r="E7" i="6"/>
  <c r="B7" i="6"/>
  <c r="L6" i="6"/>
  <c r="M6" i="6"/>
  <c r="E6" i="6"/>
  <c r="B6" i="6"/>
  <c r="W5" i="6"/>
  <c r="L5" i="6"/>
  <c r="M5" i="6"/>
  <c r="W4" i="6"/>
  <c r="E4" i="6"/>
  <c r="B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W14" i="20"/>
  <c r="U14" i="20"/>
  <c r="T14" i="20"/>
  <c r="S14" i="20"/>
  <c r="K14" i="20"/>
  <c r="G14" i="20"/>
  <c r="F14" i="20"/>
  <c r="E14" i="20"/>
  <c r="D14" i="20"/>
  <c r="W13" i="20"/>
  <c r="K13" i="20"/>
  <c r="G13" i="20"/>
  <c r="F13" i="20"/>
  <c r="E13" i="20"/>
  <c r="D13" i="20"/>
  <c r="G12" i="20"/>
  <c r="F12" i="20"/>
  <c r="E12" i="20"/>
  <c r="D12" i="20"/>
  <c r="K11" i="20"/>
  <c r="G11" i="20"/>
  <c r="F11" i="20"/>
  <c r="E11" i="20"/>
  <c r="D11" i="20"/>
  <c r="K10" i="20"/>
  <c r="K9" i="20"/>
  <c r="G10" i="20"/>
  <c r="F10" i="20"/>
  <c r="E10" i="20"/>
  <c r="D10" i="20"/>
  <c r="G8" i="20"/>
  <c r="F8" i="20"/>
  <c r="E8" i="20"/>
  <c r="D8" i="20"/>
  <c r="K7" i="20"/>
  <c r="G7" i="20"/>
  <c r="F7" i="20"/>
  <c r="E7" i="20"/>
  <c r="D7" i="20"/>
  <c r="K6" i="20"/>
  <c r="G6" i="20"/>
  <c r="F6" i="20"/>
  <c r="E6" i="20"/>
  <c r="D6" i="20"/>
  <c r="G2" i="20"/>
  <c r="V2" i="20"/>
  <c r="F2" i="20"/>
  <c r="U2" i="20"/>
  <c r="E2" i="20"/>
  <c r="T2" i="20"/>
  <c r="D2" i="20"/>
  <c r="S2" i="20"/>
  <c r="D28" i="11"/>
  <c r="H39" i="11"/>
  <c r="L39" i="11"/>
  <c r="H28" i="11"/>
  <c r="L28" i="11"/>
  <c r="E39" i="11"/>
  <c r="I39" i="11"/>
  <c r="M39" i="11"/>
  <c r="M28" i="11"/>
  <c r="L13" i="20"/>
  <c r="V5" i="20"/>
  <c r="M40" i="11"/>
  <c r="L13" i="6"/>
  <c r="M13" i="6"/>
  <c r="O6" i="6"/>
  <c r="P6" i="6"/>
  <c r="K7" i="11"/>
  <c r="K36" i="11"/>
  <c r="H8" i="11"/>
  <c r="H37" i="11"/>
  <c r="L8" i="11"/>
  <c r="L37" i="11"/>
  <c r="K10" i="11"/>
  <c r="K39" i="11"/>
  <c r="U5" i="20"/>
  <c r="X10" i="20"/>
  <c r="D83" i="14"/>
  <c r="E90" i="3"/>
  <c r="F61" i="3"/>
  <c r="F65" i="3"/>
  <c r="F51" i="3"/>
  <c r="F53" i="3"/>
  <c r="R124" i="3"/>
  <c r="R126" i="3"/>
  <c r="D125" i="3"/>
  <c r="B12" i="4"/>
  <c r="Q12" i="4"/>
  <c r="R125" i="3"/>
  <c r="O120" i="3"/>
  <c r="O121" i="3"/>
  <c r="O122" i="3"/>
  <c r="O123" i="3"/>
  <c r="L125" i="3"/>
  <c r="D40" i="14"/>
  <c r="D44" i="14"/>
  <c r="D6" i="14"/>
  <c r="D77" i="14"/>
  <c r="D81" i="14"/>
  <c r="I122" i="3"/>
  <c r="R119" i="3"/>
  <c r="R123" i="3"/>
  <c r="R110" i="3"/>
  <c r="D91" i="3"/>
  <c r="E13" i="11"/>
  <c r="E42" i="11"/>
  <c r="I13" i="11"/>
  <c r="D12" i="11"/>
  <c r="D41" i="11"/>
  <c r="E78" i="9"/>
  <c r="F10" i="11"/>
  <c r="J10" i="11"/>
  <c r="I10" i="6"/>
  <c r="J10" i="6"/>
  <c r="G10" i="11"/>
  <c r="G39" i="11"/>
  <c r="D8" i="11"/>
  <c r="D37" i="11"/>
  <c r="E9" i="11"/>
  <c r="E38" i="11"/>
  <c r="E25" i="9"/>
  <c r="X6" i="20"/>
  <c r="F48" i="3"/>
  <c r="I93" i="3"/>
  <c r="O93" i="3"/>
  <c r="I94" i="3"/>
  <c r="I96" i="3"/>
  <c r="E118" i="3"/>
  <c r="C5" i="4"/>
  <c r="R5" i="4"/>
  <c r="L89" i="3"/>
  <c r="D93" i="3"/>
  <c r="R95" i="3"/>
  <c r="F46" i="3"/>
  <c r="O88" i="3"/>
  <c r="K76" i="3"/>
  <c r="K86" i="3"/>
  <c r="Z76" i="3"/>
  <c r="W75" i="3"/>
  <c r="T74" i="3"/>
  <c r="D159" i="14"/>
  <c r="Z72" i="3"/>
  <c r="W71" i="3"/>
  <c r="Z75" i="3"/>
  <c r="Z74" i="3"/>
  <c r="T73" i="3"/>
  <c r="D158" i="14"/>
  <c r="T72" i="3"/>
  <c r="D157" i="14"/>
  <c r="W70" i="3"/>
  <c r="T69" i="3"/>
  <c r="D154" i="14"/>
  <c r="Z67" i="3"/>
  <c r="D218" i="14"/>
  <c r="T76" i="3"/>
  <c r="D161" i="14"/>
  <c r="W74" i="3"/>
  <c r="W73" i="3"/>
  <c r="Z71" i="3"/>
  <c r="Z70" i="3"/>
  <c r="Z69" i="3"/>
  <c r="W68" i="3"/>
  <c r="T67" i="3"/>
  <c r="D152" i="14"/>
  <c r="W76" i="3"/>
  <c r="T70" i="3"/>
  <c r="D155" i="14"/>
  <c r="W69" i="3"/>
  <c r="Z68" i="3"/>
  <c r="T68" i="3"/>
  <c r="D153" i="14"/>
  <c r="W67" i="3"/>
  <c r="D185" i="14"/>
  <c r="T75" i="3"/>
  <c r="D160" i="14"/>
  <c r="W72" i="3"/>
  <c r="Z73" i="3"/>
  <c r="T71" i="3"/>
  <c r="D156" i="14"/>
  <c r="N136" i="3"/>
  <c r="O136" i="3"/>
  <c r="Z136" i="3"/>
  <c r="AA136" i="3"/>
  <c r="W135" i="3"/>
  <c r="X135" i="3"/>
  <c r="T134" i="3"/>
  <c r="U134" i="3"/>
  <c r="Z132" i="3"/>
  <c r="AA132" i="3"/>
  <c r="W131" i="3"/>
  <c r="X131" i="3"/>
  <c r="T130" i="3"/>
  <c r="U130" i="3"/>
  <c r="Z128" i="3"/>
  <c r="AA128" i="3"/>
  <c r="W127" i="3"/>
  <c r="X127" i="3"/>
  <c r="Z135" i="3"/>
  <c r="AA135" i="3"/>
  <c r="W134" i="3"/>
  <c r="X134" i="3"/>
  <c r="T133" i="3"/>
  <c r="U133" i="3"/>
  <c r="Z131" i="3"/>
  <c r="AA131" i="3"/>
  <c r="W130" i="3"/>
  <c r="X130" i="3"/>
  <c r="T129" i="3"/>
  <c r="Z127" i="3"/>
  <c r="AA127" i="3"/>
  <c r="T136" i="3"/>
  <c r="U136" i="3"/>
  <c r="Z134" i="3"/>
  <c r="AA134" i="3"/>
  <c r="W133" i="3"/>
  <c r="X133" i="3"/>
  <c r="T132" i="3"/>
  <c r="U132" i="3"/>
  <c r="Z130" i="3"/>
  <c r="AA130" i="3"/>
  <c r="W129" i="3"/>
  <c r="X129" i="3"/>
  <c r="T128" i="3"/>
  <c r="T135" i="3"/>
  <c r="U135" i="3"/>
  <c r="W132" i="3"/>
  <c r="X132" i="3"/>
  <c r="Z129" i="3"/>
  <c r="AA129" i="3"/>
  <c r="T127" i="3"/>
  <c r="W136" i="3"/>
  <c r="X136" i="3"/>
  <c r="Z133" i="3"/>
  <c r="AA133" i="3"/>
  <c r="T131" i="3"/>
  <c r="U131" i="3"/>
  <c r="W128" i="3"/>
  <c r="X128" i="3"/>
  <c r="H40" i="11"/>
  <c r="L8" i="6"/>
  <c r="M8" i="6"/>
  <c r="G114" i="3"/>
  <c r="I114" i="3"/>
  <c r="G107" i="3"/>
  <c r="G111" i="3"/>
  <c r="I111" i="3"/>
  <c r="D112" i="14"/>
  <c r="R117" i="3"/>
  <c r="R118" i="3"/>
  <c r="F39" i="11"/>
  <c r="J39" i="11"/>
  <c r="E43" i="11"/>
  <c r="O5" i="6"/>
  <c r="P5" i="6"/>
  <c r="M43" i="11"/>
  <c r="O13" i="6"/>
  <c r="P13" i="6"/>
  <c r="J86" i="3"/>
  <c r="J85" i="3"/>
  <c r="D85" i="3"/>
  <c r="N12" i="4"/>
  <c r="M84" i="3"/>
  <c r="D84" i="3"/>
  <c r="N11" i="4"/>
  <c r="M83" i="3"/>
  <c r="M82" i="3"/>
  <c r="D82" i="3"/>
  <c r="N9" i="4"/>
  <c r="M81" i="3"/>
  <c r="D81" i="3"/>
  <c r="N8" i="4"/>
  <c r="T8" i="4"/>
  <c r="M80" i="3"/>
  <c r="D80" i="3"/>
  <c r="N7" i="4"/>
  <c r="M79" i="3"/>
  <c r="D79" i="3"/>
  <c r="N6" i="4"/>
  <c r="M78" i="3"/>
  <c r="D78" i="3"/>
  <c r="N5" i="4"/>
  <c r="M77" i="3"/>
  <c r="D77" i="3"/>
  <c r="N4" i="4"/>
  <c r="K107" i="3"/>
  <c r="L10" i="20"/>
  <c r="E9" i="20"/>
  <c r="M109" i="3"/>
  <c r="O109" i="3"/>
  <c r="O115" i="3"/>
  <c r="D73" i="3"/>
  <c r="E113" i="3"/>
  <c r="R10" i="6"/>
  <c r="I116" i="3"/>
  <c r="L120" i="3"/>
  <c r="U9" i="20"/>
  <c r="J43" i="11"/>
  <c r="O10" i="6"/>
  <c r="P10" i="6"/>
  <c r="I40" i="11"/>
  <c r="L9" i="6"/>
  <c r="M9" i="6"/>
  <c r="AG96" i="19"/>
  <c r="AP14" i="26"/>
  <c r="G5" i="20"/>
  <c r="R114" i="3"/>
  <c r="L87" i="3"/>
  <c r="R87" i="3"/>
  <c r="I90" i="3"/>
  <c r="I91" i="3"/>
  <c r="O91" i="3"/>
  <c r="D92" i="3"/>
  <c r="L93" i="3"/>
  <c r="D116" i="14"/>
  <c r="D48" i="14"/>
  <c r="L96" i="3"/>
  <c r="I121" i="3"/>
  <c r="D122" i="3"/>
  <c r="B9" i="4"/>
  <c r="Q9" i="4"/>
  <c r="D129" i="3"/>
  <c r="K6" i="4"/>
  <c r="D133" i="3"/>
  <c r="K10" i="4"/>
  <c r="D136" i="3"/>
  <c r="K13" i="4"/>
  <c r="J11" i="11"/>
  <c r="L10" i="6"/>
  <c r="M10" i="6"/>
  <c r="L13" i="11"/>
  <c r="L42" i="11"/>
  <c r="H7" i="11"/>
  <c r="J7" i="11"/>
  <c r="J36" i="11"/>
  <c r="F9" i="11"/>
  <c r="F38" i="11"/>
  <c r="D9" i="11"/>
  <c r="D38" i="11"/>
  <c r="H9" i="11"/>
  <c r="H38" i="11"/>
  <c r="L9" i="11"/>
  <c r="L38" i="11"/>
  <c r="L7" i="11"/>
  <c r="L36" i="11"/>
  <c r="F7" i="11"/>
  <c r="F9" i="20"/>
  <c r="R111" i="3"/>
  <c r="F57" i="3"/>
  <c r="F60" i="3"/>
  <c r="D69" i="3"/>
  <c r="D70" i="3"/>
  <c r="I88" i="3"/>
  <c r="D75" i="14"/>
  <c r="D89" i="3"/>
  <c r="R89" i="3"/>
  <c r="L115" i="3"/>
  <c r="O117" i="3"/>
  <c r="I118" i="3"/>
  <c r="O118" i="3"/>
  <c r="D120" i="3"/>
  <c r="B7" i="4"/>
  <c r="Q7" i="4"/>
  <c r="R120" i="3"/>
  <c r="L121" i="3"/>
  <c r="R121" i="3"/>
  <c r="R122" i="3"/>
  <c r="E3" i="17"/>
  <c r="F8" i="11"/>
  <c r="F37" i="11"/>
  <c r="J8" i="11"/>
  <c r="J37" i="11"/>
  <c r="C37" i="11"/>
  <c r="H14" i="11"/>
  <c r="L14" i="11"/>
  <c r="K11" i="11"/>
  <c r="E12" i="11"/>
  <c r="E41" i="11"/>
  <c r="I12" i="11"/>
  <c r="I41" i="11"/>
  <c r="M12" i="11"/>
  <c r="M41" i="11"/>
  <c r="G13" i="11"/>
  <c r="G42" i="11"/>
  <c r="K13" i="11"/>
  <c r="K42" i="11"/>
  <c r="AI10" i="26"/>
  <c r="K43" i="11"/>
  <c r="O11" i="6"/>
  <c r="P11" i="6"/>
  <c r="L6" i="20"/>
  <c r="X13" i="20"/>
  <c r="L14" i="20"/>
  <c r="B14" i="6"/>
  <c r="M112" i="3"/>
  <c r="O112" i="3"/>
  <c r="F47" i="3"/>
  <c r="F49" i="3"/>
  <c r="D86" i="3"/>
  <c r="N13" i="4"/>
  <c r="T13" i="4"/>
  <c r="D96" i="3"/>
  <c r="L117" i="3"/>
  <c r="D124" i="3"/>
  <c r="B11" i="4"/>
  <c r="Q11" i="4"/>
  <c r="D127" i="3"/>
  <c r="K4" i="4"/>
  <c r="D132" i="3"/>
  <c r="K9" i="4"/>
  <c r="D40" i="11"/>
  <c r="E28" i="11"/>
  <c r="E5" i="6"/>
  <c r="I28" i="11"/>
  <c r="E9" i="6"/>
  <c r="L7" i="20"/>
  <c r="L8" i="20"/>
  <c r="K5" i="20"/>
  <c r="K3" i="20"/>
  <c r="D9" i="20"/>
  <c r="L11" i="20"/>
  <c r="E5" i="20"/>
  <c r="F5" i="20"/>
  <c r="G9" i="20"/>
  <c r="L12" i="20"/>
  <c r="M110" i="3"/>
  <c r="O110" i="3"/>
  <c r="J40" i="11"/>
  <c r="E4" i="9"/>
  <c r="D7" i="11"/>
  <c r="H15" i="11"/>
  <c r="G56" i="9"/>
  <c r="X14" i="20"/>
  <c r="H14" i="6"/>
  <c r="C11" i="6"/>
  <c r="D11" i="6"/>
  <c r="O9" i="6"/>
  <c r="P9" i="6"/>
  <c r="E13" i="6"/>
  <c r="E14" i="6"/>
  <c r="O111" i="3"/>
  <c r="M116" i="3"/>
  <c r="O116" i="3"/>
  <c r="F50" i="3"/>
  <c r="F58" i="3"/>
  <c r="F63" i="3"/>
  <c r="D68" i="3"/>
  <c r="D74" i="3"/>
  <c r="D83" i="3"/>
  <c r="N10" i="4"/>
  <c r="T10" i="4"/>
  <c r="D87" i="3"/>
  <c r="I92" i="3"/>
  <c r="D79" i="14"/>
  <c r="O92" i="3"/>
  <c r="E94" i="3"/>
  <c r="L95" i="3"/>
  <c r="D119" i="3"/>
  <c r="B6" i="4"/>
  <c r="Q6" i="4"/>
  <c r="E121" i="3"/>
  <c r="C8" i="4"/>
  <c r="R8" i="4"/>
  <c r="L123" i="3"/>
  <c r="O124" i="3"/>
  <c r="I125" i="3"/>
  <c r="L40" i="11"/>
  <c r="L12" i="6"/>
  <c r="M12" i="6"/>
  <c r="M42" i="11"/>
  <c r="G28" i="11"/>
  <c r="K28" i="11"/>
  <c r="G14" i="4"/>
  <c r="X18" i="20"/>
  <c r="L4" i="6"/>
  <c r="L112" i="3"/>
  <c r="M114" i="3"/>
  <c r="O114" i="3"/>
  <c r="F52" i="3"/>
  <c r="F54" i="3"/>
  <c r="F56" i="3"/>
  <c r="F62" i="3"/>
  <c r="D67" i="3"/>
  <c r="D72" i="3"/>
  <c r="D94" i="3"/>
  <c r="D95" i="3"/>
  <c r="E109" i="3"/>
  <c r="R6" i="6"/>
  <c r="D123" i="3"/>
  <c r="B10" i="4"/>
  <c r="Q10" i="4"/>
  <c r="D128" i="3"/>
  <c r="K5" i="4"/>
  <c r="D134" i="3"/>
  <c r="K11" i="4"/>
  <c r="I42" i="11"/>
  <c r="I44" i="11"/>
  <c r="E57" i="9"/>
  <c r="E56" i="9"/>
  <c r="E150" i="9"/>
  <c r="G11" i="11"/>
  <c r="L113" i="3"/>
  <c r="F55" i="3"/>
  <c r="F59" i="3"/>
  <c r="F64" i="3"/>
  <c r="D71" i="3"/>
  <c r="D75" i="3"/>
  <c r="D76" i="3"/>
  <c r="I87" i="3"/>
  <c r="O87" i="3"/>
  <c r="D88" i="3"/>
  <c r="O89" i="3"/>
  <c r="D90" i="3"/>
  <c r="L91" i="3"/>
  <c r="R93" i="3"/>
  <c r="I95" i="3"/>
  <c r="O95" i="3"/>
  <c r="D118" i="3"/>
  <c r="B5" i="4"/>
  <c r="Q5" i="4"/>
  <c r="L119" i="3"/>
  <c r="D121" i="3"/>
  <c r="B8" i="4"/>
  <c r="Q8" i="4"/>
  <c r="I126" i="3"/>
  <c r="O126" i="3"/>
  <c r="D130" i="3"/>
  <c r="K7" i="4"/>
  <c r="D135" i="3"/>
  <c r="K12" i="4"/>
  <c r="C25" i="11"/>
  <c r="H3" i="9"/>
  <c r="AG14" i="26"/>
  <c r="E129" i="9"/>
  <c r="E3" i="10"/>
  <c r="E34" i="10"/>
  <c r="AH14" i="26"/>
  <c r="AI9" i="26"/>
  <c r="D14" i="11"/>
  <c r="F28" i="11"/>
  <c r="J28" i="11"/>
  <c r="C27" i="11"/>
  <c r="AI7" i="26"/>
  <c r="AI13" i="26"/>
  <c r="G15" i="4"/>
  <c r="L18" i="20"/>
  <c r="Q107" i="3"/>
  <c r="J109" i="3"/>
  <c r="L109" i="3"/>
  <c r="I110" i="3"/>
  <c r="O113" i="3"/>
  <c r="D5" i="20"/>
  <c r="R4" i="4"/>
  <c r="M107" i="3"/>
  <c r="Q108" i="3"/>
  <c r="I112" i="3"/>
  <c r="M4" i="6"/>
  <c r="I108" i="3"/>
  <c r="I109" i="3"/>
  <c r="I113" i="3"/>
  <c r="L107" i="3"/>
  <c r="M108" i="3"/>
  <c r="D108" i="3"/>
  <c r="Q5" i="6"/>
  <c r="P109" i="3"/>
  <c r="R109" i="3"/>
  <c r="E110" i="3"/>
  <c r="J111" i="3"/>
  <c r="L111" i="3"/>
  <c r="P113" i="3"/>
  <c r="D113" i="3"/>
  <c r="E114" i="3"/>
  <c r="I115" i="3"/>
  <c r="E115" i="3"/>
  <c r="E116" i="3"/>
  <c r="R116" i="3"/>
  <c r="I124" i="3"/>
  <c r="E124" i="3"/>
  <c r="C11" i="4"/>
  <c r="E125" i="3"/>
  <c r="C12" i="4"/>
  <c r="D4" i="14"/>
  <c r="D8" i="14"/>
  <c r="D12" i="14"/>
  <c r="L88" i="3"/>
  <c r="E89" i="3"/>
  <c r="I89" i="3"/>
  <c r="R90" i="3"/>
  <c r="L92" i="3"/>
  <c r="E93" i="3"/>
  <c r="R94" i="3"/>
  <c r="J110" i="3"/>
  <c r="P112" i="3"/>
  <c r="R112" i="3"/>
  <c r="J114" i="3"/>
  <c r="L114" i="3"/>
  <c r="P115" i="3"/>
  <c r="D115" i="3"/>
  <c r="Q12" i="6"/>
  <c r="T12" i="6"/>
  <c r="I120" i="3"/>
  <c r="E120" i="3"/>
  <c r="C7" i="4"/>
  <c r="D39" i="14"/>
  <c r="D43" i="14"/>
  <c r="D47" i="14"/>
  <c r="E88" i="3"/>
  <c r="O90" i="3"/>
  <c r="E92" i="3"/>
  <c r="O94" i="3"/>
  <c r="E96" i="3"/>
  <c r="E112" i="3"/>
  <c r="I123" i="3"/>
  <c r="L126" i="3"/>
  <c r="D10" i="14"/>
  <c r="E87" i="3"/>
  <c r="R88" i="3"/>
  <c r="L90" i="3"/>
  <c r="E91" i="3"/>
  <c r="R92" i="3"/>
  <c r="L94" i="3"/>
  <c r="E95" i="3"/>
  <c r="R96" i="3"/>
  <c r="E111" i="3"/>
  <c r="I119" i="3"/>
  <c r="E122" i="3"/>
  <c r="C9" i="4"/>
  <c r="O125" i="3"/>
  <c r="D126" i="3"/>
  <c r="B13" i="4"/>
  <c r="Q13" i="4"/>
  <c r="AF96" i="19"/>
  <c r="D41" i="14"/>
  <c r="D45" i="14"/>
  <c r="L118" i="3"/>
  <c r="E119" i="3"/>
  <c r="C6" i="4"/>
  <c r="L122" i="3"/>
  <c r="F122" i="3"/>
  <c r="E123" i="3"/>
  <c r="C10" i="4"/>
  <c r="M15" i="11"/>
  <c r="H56" i="9"/>
  <c r="AI6" i="26"/>
  <c r="D7" i="14"/>
  <c r="D80" i="14"/>
  <c r="D109" i="14"/>
  <c r="D117" i="14"/>
  <c r="D117" i="3"/>
  <c r="B4" i="4"/>
  <c r="D4" i="4"/>
  <c r="E126" i="3"/>
  <c r="C13" i="4"/>
  <c r="C23" i="11"/>
  <c r="H36" i="11"/>
  <c r="G3" i="9"/>
  <c r="S7" i="20"/>
  <c r="F3" i="9"/>
  <c r="W7" i="20"/>
  <c r="W5" i="20"/>
  <c r="M3" i="9"/>
  <c r="I56" i="9"/>
  <c r="D5" i="14"/>
  <c r="D13" i="14"/>
  <c r="D78" i="14"/>
  <c r="D115" i="14"/>
  <c r="K15" i="11"/>
  <c r="D11" i="14"/>
  <c r="D76" i="14"/>
  <c r="D113" i="14"/>
  <c r="I3" i="9"/>
  <c r="S11" i="20"/>
  <c r="S9" i="20"/>
  <c r="F56" i="9"/>
  <c r="W11" i="20"/>
  <c r="W9" i="20"/>
  <c r="M56" i="9"/>
  <c r="D9" i="14"/>
  <c r="D74" i="14"/>
  <c r="D82" i="14"/>
  <c r="D111" i="14"/>
  <c r="C5" i="6"/>
  <c r="D5" i="6"/>
  <c r="K67" i="3"/>
  <c r="K77" i="3"/>
  <c r="L77" i="3"/>
  <c r="C4" i="6"/>
  <c r="D4" i="6"/>
  <c r="I5" i="6"/>
  <c r="J5" i="6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/>
  <c r="N97" i="3"/>
  <c r="O97" i="3"/>
  <c r="F5" i="6"/>
  <c r="I8" i="6"/>
  <c r="J8" i="6"/>
  <c r="C10" i="6"/>
  <c r="D10" i="6"/>
  <c r="I12" i="6"/>
  <c r="J12" i="6"/>
  <c r="C13" i="6"/>
  <c r="F13" i="6"/>
  <c r="I11" i="6"/>
  <c r="J11" i="6"/>
  <c r="I13" i="6"/>
  <c r="J13" i="6"/>
  <c r="F8" i="6"/>
  <c r="G8" i="6"/>
  <c r="I9" i="6"/>
  <c r="J9" i="6"/>
  <c r="F4" i="6"/>
  <c r="C8" i="6"/>
  <c r="D8" i="6"/>
  <c r="F9" i="6"/>
  <c r="G9" i="6"/>
  <c r="C6" i="6"/>
  <c r="D6" i="6"/>
  <c r="F7" i="6"/>
  <c r="G7" i="6"/>
  <c r="C9" i="6"/>
  <c r="F10" i="6"/>
  <c r="G10" i="6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H44" i="11"/>
  <c r="M44" i="11"/>
  <c r="I4" i="6"/>
  <c r="J4" i="6"/>
  <c r="E44" i="11"/>
  <c r="E15" i="11"/>
  <c r="J15" i="11"/>
  <c r="I15" i="11"/>
  <c r="I6" i="6"/>
  <c r="J6" i="6"/>
  <c r="F12" i="6"/>
  <c r="G12" i="6"/>
  <c r="C12" i="11"/>
  <c r="E3" i="9"/>
  <c r="F11" i="6"/>
  <c r="G11" i="6"/>
  <c r="W3" i="20"/>
  <c r="C9" i="11"/>
  <c r="F15" i="11"/>
  <c r="C38" i="11"/>
  <c r="C41" i="11"/>
  <c r="R115" i="3"/>
  <c r="U127" i="3"/>
  <c r="U128" i="3"/>
  <c r="U129" i="3"/>
  <c r="AI14" i="26"/>
  <c r="R108" i="3"/>
  <c r="R107" i="3"/>
  <c r="I4" i="20"/>
  <c r="I3" i="20"/>
  <c r="F93" i="3"/>
  <c r="F124" i="3"/>
  <c r="F123" i="3"/>
  <c r="S5" i="4"/>
  <c r="D110" i="3"/>
  <c r="Q7" i="6"/>
  <c r="T7" i="6"/>
  <c r="B7" i="2"/>
  <c r="V17" i="20"/>
  <c r="V16" i="20"/>
  <c r="G17" i="20"/>
  <c r="G16" i="20"/>
  <c r="L86" i="3"/>
  <c r="F96" i="3"/>
  <c r="D107" i="3"/>
  <c r="Q4" i="6"/>
  <c r="T4" i="6"/>
  <c r="C7" i="6"/>
  <c r="D7" i="6"/>
  <c r="L9" i="20"/>
  <c r="C10" i="11"/>
  <c r="C39" i="11"/>
  <c r="G15" i="11"/>
  <c r="I7" i="6"/>
  <c r="J7" i="6"/>
  <c r="C8" i="11"/>
  <c r="J44" i="11"/>
  <c r="L76" i="3"/>
  <c r="K106" i="3"/>
  <c r="L106" i="3"/>
  <c r="D103" i="14"/>
  <c r="F91" i="3"/>
  <c r="T11" i="4"/>
  <c r="F117" i="3"/>
  <c r="F87" i="3"/>
  <c r="U75" i="3"/>
  <c r="T105" i="3"/>
  <c r="U105" i="3"/>
  <c r="T85" i="3"/>
  <c r="U85" i="3"/>
  <c r="W79" i="3"/>
  <c r="X79" i="3"/>
  <c r="X69" i="3"/>
  <c r="W99" i="3"/>
  <c r="X99" i="3"/>
  <c r="W78" i="3"/>
  <c r="X78" i="3"/>
  <c r="X68" i="3"/>
  <c r="W98" i="3"/>
  <c r="X98" i="3"/>
  <c r="W83" i="3"/>
  <c r="X83" i="3"/>
  <c r="X73" i="3"/>
  <c r="W103" i="3"/>
  <c r="X103" i="3"/>
  <c r="T79" i="3"/>
  <c r="U79" i="3"/>
  <c r="U69" i="3"/>
  <c r="T99" i="3"/>
  <c r="U99" i="3"/>
  <c r="Z84" i="3"/>
  <c r="AA84" i="3"/>
  <c r="AA74" i="3"/>
  <c r="Z104" i="3"/>
  <c r="AA104" i="3"/>
  <c r="U74" i="3"/>
  <c r="T104" i="3"/>
  <c r="U104" i="3"/>
  <c r="T84" i="3"/>
  <c r="U84" i="3"/>
  <c r="S8" i="4"/>
  <c r="T81" i="3"/>
  <c r="U81" i="3"/>
  <c r="U71" i="3"/>
  <c r="T101" i="3"/>
  <c r="U101" i="3"/>
  <c r="W77" i="3"/>
  <c r="X77" i="3"/>
  <c r="X67" i="3"/>
  <c r="W97" i="3"/>
  <c r="X97" i="3"/>
  <c r="T80" i="3"/>
  <c r="U80" i="3"/>
  <c r="U70" i="3"/>
  <c r="T100" i="3"/>
  <c r="U100" i="3"/>
  <c r="Z79" i="3"/>
  <c r="AA79" i="3"/>
  <c r="AA69" i="3"/>
  <c r="Z99" i="3"/>
  <c r="AA99" i="3"/>
  <c r="X74" i="3"/>
  <c r="W104" i="3"/>
  <c r="X104" i="3"/>
  <c r="W84" i="3"/>
  <c r="X84" i="3"/>
  <c r="X70" i="3"/>
  <c r="W100" i="3"/>
  <c r="X100" i="3"/>
  <c r="W80" i="3"/>
  <c r="X80" i="3"/>
  <c r="AA75" i="3"/>
  <c r="Z105" i="3"/>
  <c r="AA105" i="3"/>
  <c r="Z85" i="3"/>
  <c r="AA85" i="3"/>
  <c r="W85" i="3"/>
  <c r="X85" i="3"/>
  <c r="X75" i="3"/>
  <c r="W105" i="3"/>
  <c r="X105" i="3"/>
  <c r="T5" i="4"/>
  <c r="Z83" i="3"/>
  <c r="AA83" i="3"/>
  <c r="AA73" i="3"/>
  <c r="Z103" i="3"/>
  <c r="AA103" i="3"/>
  <c r="T78" i="3"/>
  <c r="U78" i="3"/>
  <c r="U68" i="3"/>
  <c r="T98" i="3"/>
  <c r="U98" i="3"/>
  <c r="W86" i="3"/>
  <c r="X86" i="3"/>
  <c r="X76" i="3"/>
  <c r="W106" i="3"/>
  <c r="X106" i="3"/>
  <c r="Z80" i="3"/>
  <c r="AA80" i="3"/>
  <c r="AA70" i="3"/>
  <c r="Z100" i="3"/>
  <c r="AA100" i="3"/>
  <c r="T86" i="3"/>
  <c r="U86" i="3"/>
  <c r="U76" i="3"/>
  <c r="T106" i="3"/>
  <c r="U106" i="3"/>
  <c r="T82" i="3"/>
  <c r="U82" i="3"/>
  <c r="U72" i="3"/>
  <c r="T102" i="3"/>
  <c r="U102" i="3"/>
  <c r="X71" i="3"/>
  <c r="W101" i="3"/>
  <c r="X101" i="3"/>
  <c r="W81" i="3"/>
  <c r="X81" i="3"/>
  <c r="Z86" i="3"/>
  <c r="AA86" i="3"/>
  <c r="AA76" i="3"/>
  <c r="Z106" i="3"/>
  <c r="AA106" i="3"/>
  <c r="X72" i="3"/>
  <c r="W102" i="3"/>
  <c r="X102" i="3"/>
  <c r="W82" i="3"/>
  <c r="X82" i="3"/>
  <c r="Z78" i="3"/>
  <c r="AA78" i="3"/>
  <c r="AA68" i="3"/>
  <c r="Z98" i="3"/>
  <c r="AA98" i="3"/>
  <c r="T77" i="3"/>
  <c r="U77" i="3"/>
  <c r="U67" i="3"/>
  <c r="T97" i="3"/>
  <c r="U97" i="3"/>
  <c r="AA71" i="3"/>
  <c r="Z101" i="3"/>
  <c r="AA101" i="3"/>
  <c r="Z81" i="3"/>
  <c r="AA81" i="3"/>
  <c r="Z77" i="3"/>
  <c r="AA77" i="3"/>
  <c r="AA67" i="3"/>
  <c r="Z97" i="3"/>
  <c r="AA97" i="3"/>
  <c r="U73" i="3"/>
  <c r="T103" i="3"/>
  <c r="U103" i="3"/>
  <c r="T83" i="3"/>
  <c r="U83" i="3"/>
  <c r="Z82" i="3"/>
  <c r="AA82" i="3"/>
  <c r="AA72" i="3"/>
  <c r="Z102" i="3"/>
  <c r="AA102" i="3"/>
  <c r="T6" i="4"/>
  <c r="N14" i="4"/>
  <c r="D111" i="3"/>
  <c r="Q8" i="6"/>
  <c r="T8" i="6"/>
  <c r="B8" i="2"/>
  <c r="D116" i="3"/>
  <c r="Q13" i="6"/>
  <c r="T13" i="6"/>
  <c r="B13" i="2"/>
  <c r="F125" i="3"/>
  <c r="H43" i="11"/>
  <c r="O8" i="6"/>
  <c r="P8" i="6"/>
  <c r="H107" i="3"/>
  <c r="I107" i="3"/>
  <c r="S4" i="20"/>
  <c r="K108" i="3"/>
  <c r="L108" i="3"/>
  <c r="G5" i="6"/>
  <c r="C12" i="6"/>
  <c r="D12" i="6"/>
  <c r="L44" i="11"/>
  <c r="D5" i="4"/>
  <c r="T12" i="4"/>
  <c r="E12" i="2"/>
  <c r="F95" i="3"/>
  <c r="F121" i="3"/>
  <c r="L43" i="11"/>
  <c r="O12" i="6"/>
  <c r="P12" i="6"/>
  <c r="F6" i="6"/>
  <c r="G6" i="6"/>
  <c r="C14" i="11"/>
  <c r="F36" i="11"/>
  <c r="F44" i="11"/>
  <c r="C13" i="11"/>
  <c r="F90" i="3"/>
  <c r="F120" i="3"/>
  <c r="T5" i="6"/>
  <c r="B5" i="2"/>
  <c r="L15" i="11"/>
  <c r="K40" i="11"/>
  <c r="K44" i="11"/>
  <c r="L11" i="6"/>
  <c r="M11" i="6"/>
  <c r="D15" i="11"/>
  <c r="C7" i="11"/>
  <c r="K14" i="4"/>
  <c r="F126" i="3"/>
  <c r="R113" i="3"/>
  <c r="D114" i="3"/>
  <c r="Q11" i="6"/>
  <c r="T11" i="6"/>
  <c r="B11" i="2"/>
  <c r="T7" i="4"/>
  <c r="E7" i="2"/>
  <c r="F94" i="3"/>
  <c r="C42" i="11"/>
  <c r="T9" i="4"/>
  <c r="G40" i="11"/>
  <c r="G44" i="11"/>
  <c r="L7" i="6"/>
  <c r="M7" i="6"/>
  <c r="M15" i="6"/>
  <c r="C11" i="11"/>
  <c r="D36" i="11"/>
  <c r="C28" i="11"/>
  <c r="U22" i="20"/>
  <c r="G13" i="6"/>
  <c r="X9" i="20"/>
  <c r="X11" i="20"/>
  <c r="C14" i="4"/>
  <c r="F92" i="3"/>
  <c r="T22" i="20"/>
  <c r="L5" i="20"/>
  <c r="D8" i="4"/>
  <c r="D43" i="11"/>
  <c r="O4" i="6"/>
  <c r="L14" i="6"/>
  <c r="T4" i="4"/>
  <c r="Q10" i="6"/>
  <c r="F113" i="3"/>
  <c r="B12" i="2"/>
  <c r="R10" i="4"/>
  <c r="S10" i="4"/>
  <c r="D10" i="4"/>
  <c r="R9" i="4"/>
  <c r="S9" i="4"/>
  <c r="D9" i="4"/>
  <c r="R12" i="4"/>
  <c r="S12" i="4"/>
  <c r="D12" i="4"/>
  <c r="R13" i="6"/>
  <c r="D109" i="3"/>
  <c r="F88" i="3"/>
  <c r="N107" i="3"/>
  <c r="D112" i="3"/>
  <c r="Q9" i="6"/>
  <c r="T9" i="6"/>
  <c r="D4" i="20"/>
  <c r="R11" i="6"/>
  <c r="R13" i="4"/>
  <c r="S13" i="4"/>
  <c r="D13" i="4"/>
  <c r="F119" i="3"/>
  <c r="D17" i="20"/>
  <c r="S17" i="20"/>
  <c r="V22" i="20"/>
  <c r="F89" i="3"/>
  <c r="S22" i="20"/>
  <c r="R11" i="4"/>
  <c r="S11" i="4"/>
  <c r="D11" i="4"/>
  <c r="F115" i="3"/>
  <c r="R12" i="6"/>
  <c r="S12" i="6"/>
  <c r="L110" i="3"/>
  <c r="F118" i="3"/>
  <c r="T17" i="20"/>
  <c r="T16" i="20"/>
  <c r="E17" i="20"/>
  <c r="E16" i="20"/>
  <c r="R7" i="4"/>
  <c r="S7" i="4"/>
  <c r="D7" i="4"/>
  <c r="S5" i="20"/>
  <c r="X7" i="20"/>
  <c r="B14" i="4"/>
  <c r="Q4" i="4"/>
  <c r="R6" i="4"/>
  <c r="S6" i="4"/>
  <c r="D6" i="4"/>
  <c r="U17" i="20"/>
  <c r="U16" i="20"/>
  <c r="F17" i="20"/>
  <c r="F16" i="20"/>
  <c r="R8" i="6"/>
  <c r="S8" i="6"/>
  <c r="R9" i="6"/>
  <c r="R7" i="6"/>
  <c r="N108" i="3"/>
  <c r="L67" i="3"/>
  <c r="K97" i="3"/>
  <c r="L97" i="3"/>
  <c r="U10" i="6"/>
  <c r="D64" i="14"/>
  <c r="L132" i="3"/>
  <c r="D65" i="14"/>
  <c r="L133" i="3"/>
  <c r="D61" i="14"/>
  <c r="L129" i="3"/>
  <c r="D30" i="14"/>
  <c r="I133" i="3"/>
  <c r="E133" i="3"/>
  <c r="L10" i="4"/>
  <c r="M10" i="4"/>
  <c r="R136" i="3"/>
  <c r="D138" i="14"/>
  <c r="R132" i="3"/>
  <c r="D134" i="14"/>
  <c r="R128" i="3"/>
  <c r="D130" i="14"/>
  <c r="D33" i="14"/>
  <c r="I136" i="3"/>
  <c r="E136" i="3"/>
  <c r="L13" i="4"/>
  <c r="M13" i="4"/>
  <c r="D29" i="14"/>
  <c r="I132" i="3"/>
  <c r="E132" i="3"/>
  <c r="L9" i="4"/>
  <c r="M9" i="4"/>
  <c r="D25" i="14"/>
  <c r="I128" i="3"/>
  <c r="E128" i="3"/>
  <c r="L5" i="4"/>
  <c r="M5" i="4"/>
  <c r="D26" i="14"/>
  <c r="I129" i="3"/>
  <c r="E129" i="3"/>
  <c r="L6" i="4"/>
  <c r="M6" i="4"/>
  <c r="D31" i="14"/>
  <c r="E134" i="3"/>
  <c r="L11" i="4"/>
  <c r="M11" i="4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/>
  <c r="M7" i="4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/>
  <c r="M12" i="4"/>
  <c r="D32" i="14"/>
  <c r="I131" i="3"/>
  <c r="E131" i="3"/>
  <c r="L8" i="4"/>
  <c r="M8" i="4"/>
  <c r="D28" i="14"/>
  <c r="R127" i="3"/>
  <c r="D129" i="14"/>
  <c r="D67" i="14"/>
  <c r="L135" i="3"/>
  <c r="I127" i="3"/>
  <c r="E127" i="3"/>
  <c r="L4" i="4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/>
  <c r="R76" i="3"/>
  <c r="Q106" i="3"/>
  <c r="Q82" i="3"/>
  <c r="R82" i="3"/>
  <c r="R72" i="3"/>
  <c r="Q102" i="3"/>
  <c r="R102" i="3"/>
  <c r="Q78" i="3"/>
  <c r="R68" i="3"/>
  <c r="Q98" i="3"/>
  <c r="R98" i="3"/>
  <c r="N84" i="3"/>
  <c r="O84" i="3"/>
  <c r="O74" i="3"/>
  <c r="N104" i="3"/>
  <c r="O104" i="3"/>
  <c r="N80" i="3"/>
  <c r="O80" i="3"/>
  <c r="O70" i="3"/>
  <c r="N100" i="3"/>
  <c r="O100" i="3"/>
  <c r="H77" i="3"/>
  <c r="I67" i="3"/>
  <c r="E67" i="3"/>
  <c r="K82" i="3"/>
  <c r="L82" i="3"/>
  <c r="L72" i="3"/>
  <c r="K102" i="3"/>
  <c r="L102" i="3"/>
  <c r="K78" i="3"/>
  <c r="L78" i="3"/>
  <c r="L68" i="3"/>
  <c r="K98" i="3"/>
  <c r="L98" i="3"/>
  <c r="L73" i="3"/>
  <c r="K103" i="3"/>
  <c r="L103" i="3"/>
  <c r="K83" i="3"/>
  <c r="L83" i="3"/>
  <c r="L69" i="3"/>
  <c r="K99" i="3"/>
  <c r="L99" i="3"/>
  <c r="K79" i="3"/>
  <c r="L79" i="3"/>
  <c r="H85" i="3"/>
  <c r="I75" i="3"/>
  <c r="E75" i="3"/>
  <c r="H81" i="3"/>
  <c r="I71" i="3"/>
  <c r="E71" i="3"/>
  <c r="R67" i="3"/>
  <c r="Q97" i="3"/>
  <c r="R97" i="3"/>
  <c r="Q77" i="3"/>
  <c r="Q83" i="3"/>
  <c r="R83" i="3"/>
  <c r="R73" i="3"/>
  <c r="Q103" i="3"/>
  <c r="R103" i="3"/>
  <c r="Q79" i="3"/>
  <c r="R69" i="3"/>
  <c r="Q99" i="3"/>
  <c r="R99" i="3"/>
  <c r="G4" i="6"/>
  <c r="D13" i="6"/>
  <c r="N85" i="3"/>
  <c r="O85" i="3"/>
  <c r="O75" i="3"/>
  <c r="N105" i="3"/>
  <c r="O105" i="3"/>
  <c r="N81" i="3"/>
  <c r="O81" i="3"/>
  <c r="O71" i="3"/>
  <c r="N101" i="3"/>
  <c r="O101" i="3"/>
  <c r="O76" i="3"/>
  <c r="N106" i="3"/>
  <c r="O106" i="3"/>
  <c r="N86" i="3"/>
  <c r="O86" i="3"/>
  <c r="O72" i="3"/>
  <c r="N102" i="3"/>
  <c r="O102" i="3"/>
  <c r="N82" i="3"/>
  <c r="O82" i="3"/>
  <c r="O68" i="3"/>
  <c r="N98" i="3"/>
  <c r="O98" i="3"/>
  <c r="N78" i="3"/>
  <c r="O78" i="3"/>
  <c r="K84" i="3"/>
  <c r="L84" i="3"/>
  <c r="L74" i="3"/>
  <c r="K104" i="3"/>
  <c r="L104" i="3"/>
  <c r="K80" i="3"/>
  <c r="L80" i="3"/>
  <c r="L70" i="3"/>
  <c r="K100" i="3"/>
  <c r="L100" i="3"/>
  <c r="H86" i="3"/>
  <c r="I76" i="3"/>
  <c r="E76" i="3"/>
  <c r="H82" i="3"/>
  <c r="I72" i="3"/>
  <c r="E72" i="3"/>
  <c r="H78" i="3"/>
  <c r="I68" i="3"/>
  <c r="E68" i="3"/>
  <c r="D9" i="6"/>
  <c r="Q84" i="3"/>
  <c r="R84" i="3"/>
  <c r="R74" i="3"/>
  <c r="Q104" i="3"/>
  <c r="R104" i="3"/>
  <c r="Q80" i="3"/>
  <c r="R70" i="3"/>
  <c r="Q100" i="3"/>
  <c r="R100" i="3"/>
  <c r="R75" i="3"/>
  <c r="Q105" i="3"/>
  <c r="Q85" i="3"/>
  <c r="R85" i="3"/>
  <c r="R71" i="3"/>
  <c r="Q101" i="3"/>
  <c r="R101" i="3"/>
  <c r="Q81" i="3"/>
  <c r="N83" i="3"/>
  <c r="O83" i="3"/>
  <c r="O73" i="3"/>
  <c r="N103" i="3"/>
  <c r="O103" i="3"/>
  <c r="N79" i="3"/>
  <c r="O79" i="3"/>
  <c r="O69" i="3"/>
  <c r="N99" i="3"/>
  <c r="O99" i="3"/>
  <c r="K85" i="3"/>
  <c r="L85" i="3"/>
  <c r="L75" i="3"/>
  <c r="K105" i="3"/>
  <c r="L105" i="3"/>
  <c r="K81" i="3"/>
  <c r="L81" i="3"/>
  <c r="L71" i="3"/>
  <c r="K101" i="3"/>
  <c r="L101" i="3"/>
  <c r="J15" i="6"/>
  <c r="V4" i="20"/>
  <c r="V3" i="20"/>
  <c r="S7" i="6"/>
  <c r="S13" i="6"/>
  <c r="F110" i="3"/>
  <c r="J23" i="20"/>
  <c r="H23" i="20"/>
  <c r="I23" i="20"/>
  <c r="H20" i="20"/>
  <c r="J21" i="20"/>
  <c r="H21" i="20"/>
  <c r="J20" i="20"/>
  <c r="R105" i="3"/>
  <c r="R106" i="3"/>
  <c r="R80" i="3"/>
  <c r="R77" i="3"/>
  <c r="R78" i="3"/>
  <c r="R79" i="3"/>
  <c r="R81" i="3"/>
  <c r="F112" i="3"/>
  <c r="F114" i="3"/>
  <c r="J14" i="6"/>
  <c r="E5" i="2"/>
  <c r="E8" i="2"/>
  <c r="U7" i="6"/>
  <c r="C7" i="2"/>
  <c r="D7" i="2"/>
  <c r="I7" i="2"/>
  <c r="C15" i="11"/>
  <c r="I14" i="6"/>
  <c r="E11" i="2"/>
  <c r="E4" i="20"/>
  <c r="E3" i="20"/>
  <c r="S11" i="6"/>
  <c r="F14" i="6"/>
  <c r="C14" i="6"/>
  <c r="U6" i="6"/>
  <c r="C6" i="2"/>
  <c r="M14" i="6"/>
  <c r="F116" i="3"/>
  <c r="F111" i="3"/>
  <c r="C43" i="11"/>
  <c r="E13" i="2"/>
  <c r="C36" i="11"/>
  <c r="U11" i="6"/>
  <c r="V11" i="6"/>
  <c r="U13" i="6"/>
  <c r="C13" i="2"/>
  <c r="D13" i="2"/>
  <c r="I13" i="2"/>
  <c r="S9" i="6"/>
  <c r="O14" i="6"/>
  <c r="P4" i="6"/>
  <c r="G4" i="20"/>
  <c r="G3" i="20"/>
  <c r="D15" i="4"/>
  <c r="X22" i="20"/>
  <c r="D44" i="11"/>
  <c r="C44" i="11"/>
  <c r="U8" i="6"/>
  <c r="T14" i="4"/>
  <c r="C40" i="11"/>
  <c r="Q14" i="4"/>
  <c r="B4" i="2"/>
  <c r="O107" i="3"/>
  <c r="H4" i="20"/>
  <c r="H3" i="20"/>
  <c r="E107" i="3"/>
  <c r="U12" i="6"/>
  <c r="V12" i="6"/>
  <c r="R14" i="4"/>
  <c r="O108" i="3"/>
  <c r="E108" i="3"/>
  <c r="D3" i="20"/>
  <c r="T10" i="6"/>
  <c r="V10" i="6"/>
  <c r="S10" i="6"/>
  <c r="E4" i="2"/>
  <c r="S4" i="4"/>
  <c r="T4" i="20"/>
  <c r="T3" i="20"/>
  <c r="B9" i="2"/>
  <c r="E9" i="2"/>
  <c r="D14" i="4"/>
  <c r="L17" i="20"/>
  <c r="D16" i="20"/>
  <c r="L16" i="20"/>
  <c r="Q6" i="6"/>
  <c r="F109" i="3"/>
  <c r="C10" i="2"/>
  <c r="U9" i="6"/>
  <c r="V9" i="6"/>
  <c r="S3" i="20"/>
  <c r="X5" i="20"/>
  <c r="S16" i="20"/>
  <c r="X16" i="20"/>
  <c r="X17" i="20"/>
  <c r="F130" i="3"/>
  <c r="F133" i="3"/>
  <c r="D15" i="6"/>
  <c r="T20" i="20"/>
  <c r="F132" i="3"/>
  <c r="M4" i="4"/>
  <c r="L14" i="4"/>
  <c r="F131" i="3"/>
  <c r="F128" i="3"/>
  <c r="U23" i="20"/>
  <c r="F23" i="20"/>
  <c r="F127" i="3"/>
  <c r="S23" i="20"/>
  <c r="D23" i="20"/>
  <c r="G23" i="20"/>
  <c r="V23" i="20"/>
  <c r="T23" i="20"/>
  <c r="E23" i="20"/>
  <c r="F134" i="3"/>
  <c r="F129" i="3"/>
  <c r="F135" i="3"/>
  <c r="F136" i="3"/>
  <c r="U21" i="20"/>
  <c r="F21" i="20"/>
  <c r="F72" i="3"/>
  <c r="H102" i="3"/>
  <c r="I86" i="3"/>
  <c r="F86" i="3"/>
  <c r="E86" i="3"/>
  <c r="O13" i="4"/>
  <c r="P13" i="4"/>
  <c r="T21" i="20"/>
  <c r="E21" i="20"/>
  <c r="I77" i="3"/>
  <c r="E77" i="3"/>
  <c r="O4" i="4"/>
  <c r="H104" i="3"/>
  <c r="F74" i="3"/>
  <c r="F68" i="3"/>
  <c r="H98" i="3"/>
  <c r="I82" i="3"/>
  <c r="F82" i="3"/>
  <c r="E82" i="3"/>
  <c r="O9" i="4"/>
  <c r="P9" i="4"/>
  <c r="G15" i="6"/>
  <c r="G14" i="6"/>
  <c r="F75" i="3"/>
  <c r="H105" i="3"/>
  <c r="H100" i="3"/>
  <c r="F70" i="3"/>
  <c r="F73" i="3"/>
  <c r="H103" i="3"/>
  <c r="E20" i="20"/>
  <c r="I78" i="3"/>
  <c r="E78" i="3"/>
  <c r="O5" i="4"/>
  <c r="P5" i="4"/>
  <c r="F20" i="20"/>
  <c r="U20" i="20"/>
  <c r="F71" i="3"/>
  <c r="H101" i="3"/>
  <c r="I85" i="3"/>
  <c r="F85" i="3"/>
  <c r="E85" i="3"/>
  <c r="O12" i="4"/>
  <c r="P12" i="4"/>
  <c r="I84" i="3"/>
  <c r="F84" i="3"/>
  <c r="E84" i="3"/>
  <c r="O11" i="4"/>
  <c r="P11" i="4"/>
  <c r="F69" i="3"/>
  <c r="H99" i="3"/>
  <c r="I83" i="3"/>
  <c r="F83" i="3"/>
  <c r="E83" i="3"/>
  <c r="O10" i="4"/>
  <c r="P10" i="4"/>
  <c r="F76" i="3"/>
  <c r="H106" i="3"/>
  <c r="I81" i="3"/>
  <c r="E81" i="3"/>
  <c r="O8" i="4"/>
  <c r="P8" i="4"/>
  <c r="D14" i="6"/>
  <c r="H97" i="3"/>
  <c r="F67" i="3"/>
  <c r="I80" i="3"/>
  <c r="E80" i="3"/>
  <c r="O7" i="4"/>
  <c r="P7" i="4"/>
  <c r="I79" i="3"/>
  <c r="E79" i="3"/>
  <c r="O6" i="4"/>
  <c r="P6" i="4"/>
  <c r="I20" i="20"/>
  <c r="J19" i="20"/>
  <c r="J15" i="20"/>
  <c r="H19" i="20"/>
  <c r="H15" i="20"/>
  <c r="I21" i="20"/>
  <c r="V20" i="20"/>
  <c r="F79" i="3"/>
  <c r="G20" i="20"/>
  <c r="F81" i="3"/>
  <c r="G21" i="20"/>
  <c r="V21" i="20"/>
  <c r="F80" i="3"/>
  <c r="F78" i="3"/>
  <c r="V7" i="6"/>
  <c r="V13" i="6"/>
  <c r="C11" i="2"/>
  <c r="D11" i="2"/>
  <c r="I11" i="2"/>
  <c r="C8" i="2"/>
  <c r="D8" i="2"/>
  <c r="I8" i="2"/>
  <c r="V8" i="6"/>
  <c r="C9" i="2"/>
  <c r="D9" i="2"/>
  <c r="I9" i="2"/>
  <c r="P15" i="6"/>
  <c r="P14" i="6"/>
  <c r="C12" i="2"/>
  <c r="D12" i="2"/>
  <c r="I12" i="2"/>
  <c r="E10" i="2"/>
  <c r="B10" i="2"/>
  <c r="D10" i="2"/>
  <c r="I10" i="2"/>
  <c r="U4" i="20"/>
  <c r="U3" i="20"/>
  <c r="X3" i="20"/>
  <c r="F4" i="20"/>
  <c r="T6" i="6"/>
  <c r="S6" i="6"/>
  <c r="Q14" i="6"/>
  <c r="S15" i="4"/>
  <c r="S14" i="4"/>
  <c r="F108" i="3"/>
  <c r="R5" i="6"/>
  <c r="F107" i="3"/>
  <c r="R4" i="6"/>
  <c r="U19" i="20"/>
  <c r="U15" i="20"/>
  <c r="T19" i="20"/>
  <c r="T15" i="20"/>
  <c r="L23" i="20"/>
  <c r="M14" i="4"/>
  <c r="M15" i="4"/>
  <c r="X23" i="20"/>
  <c r="F19" i="20"/>
  <c r="F15" i="20"/>
  <c r="E19" i="20"/>
  <c r="E15" i="20"/>
  <c r="E98" i="3"/>
  <c r="I5" i="4"/>
  <c r="I98" i="3"/>
  <c r="F98" i="3"/>
  <c r="O14" i="4"/>
  <c r="P4" i="4"/>
  <c r="E102" i="3"/>
  <c r="I9" i="4"/>
  <c r="I102" i="3"/>
  <c r="F102" i="3"/>
  <c r="I101" i="3"/>
  <c r="F101" i="3"/>
  <c r="E101" i="3"/>
  <c r="I8" i="4"/>
  <c r="E100" i="3"/>
  <c r="I7" i="4"/>
  <c r="I100" i="3"/>
  <c r="F100" i="3"/>
  <c r="F77" i="3"/>
  <c r="D21" i="20"/>
  <c r="S21" i="20"/>
  <c r="E103" i="3"/>
  <c r="I10" i="4"/>
  <c r="I103" i="3"/>
  <c r="F103" i="3"/>
  <c r="I105" i="3"/>
  <c r="F105" i="3"/>
  <c r="E105" i="3"/>
  <c r="I12" i="4"/>
  <c r="I97" i="3"/>
  <c r="E97" i="3"/>
  <c r="I4" i="4"/>
  <c r="E106" i="3"/>
  <c r="I13" i="4"/>
  <c r="I106" i="3"/>
  <c r="F106" i="3"/>
  <c r="E99" i="3"/>
  <c r="I6" i="4"/>
  <c r="I99" i="3"/>
  <c r="F99" i="3"/>
  <c r="E104" i="3"/>
  <c r="I11" i="4"/>
  <c r="I104" i="3"/>
  <c r="F104" i="3"/>
  <c r="I19" i="20"/>
  <c r="I15" i="20"/>
  <c r="V19" i="20"/>
  <c r="V15" i="20"/>
  <c r="G19" i="20"/>
  <c r="G15" i="20"/>
  <c r="X21" i="20"/>
  <c r="L21" i="20"/>
  <c r="S4" i="6"/>
  <c r="R14" i="6"/>
  <c r="U4" i="6"/>
  <c r="F3" i="20"/>
  <c r="L3" i="20"/>
  <c r="L4" i="20"/>
  <c r="B6" i="2"/>
  <c r="E6" i="2"/>
  <c r="E14" i="2"/>
  <c r="V6" i="6"/>
  <c r="T14" i="6"/>
  <c r="S5" i="6"/>
  <c r="U5" i="6"/>
  <c r="X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S20" i="20"/>
  <c r="D20" i="20"/>
  <c r="J8" i="4"/>
  <c r="U8" i="4"/>
  <c r="J5" i="4"/>
  <c r="U5" i="4"/>
  <c r="V5" i="6"/>
  <c r="C5" i="2"/>
  <c r="D5" i="2"/>
  <c r="I5" i="2"/>
  <c r="C4" i="2"/>
  <c r="V4" i="6"/>
  <c r="U14" i="6"/>
  <c r="D6" i="2"/>
  <c r="I6" i="2"/>
  <c r="B14" i="2"/>
  <c r="S15" i="6"/>
  <c r="S14" i="6"/>
  <c r="V8" i="4"/>
  <c r="F8" i="2"/>
  <c r="G8" i="2"/>
  <c r="J8" i="2"/>
  <c r="V4" i="4"/>
  <c r="U14" i="4"/>
  <c r="F4" i="2"/>
  <c r="V13" i="4"/>
  <c r="F13" i="2"/>
  <c r="G13" i="2"/>
  <c r="J13" i="2"/>
  <c r="V6" i="4"/>
  <c r="F6" i="2"/>
  <c r="G6" i="2"/>
  <c r="J6" i="2"/>
  <c r="V7" i="4"/>
  <c r="F7" i="2"/>
  <c r="G7" i="2"/>
  <c r="J7" i="2"/>
  <c r="J14" i="4"/>
  <c r="J15" i="4"/>
  <c r="V5" i="4"/>
  <c r="F5" i="2"/>
  <c r="G5" i="2"/>
  <c r="J5" i="2"/>
  <c r="L20" i="20"/>
  <c r="D19" i="20"/>
  <c r="V12" i="4"/>
  <c r="F12" i="2"/>
  <c r="G12" i="2"/>
  <c r="J12" i="2"/>
  <c r="V11" i="4"/>
  <c r="F11" i="2"/>
  <c r="G11" i="2"/>
  <c r="J11" i="2"/>
  <c r="V10" i="4"/>
  <c r="F10" i="2"/>
  <c r="G10" i="2"/>
  <c r="J10" i="2"/>
  <c r="X20" i="20"/>
  <c r="S19" i="20"/>
  <c r="V9" i="4"/>
  <c r="F9" i="2"/>
  <c r="G9" i="2"/>
  <c r="J9" i="2"/>
  <c r="D4" i="2"/>
  <c r="C14" i="2"/>
  <c r="V15" i="6"/>
  <c r="V14" i="6"/>
  <c r="V14" i="4"/>
  <c r="V15" i="4"/>
  <c r="X19" i="20"/>
  <c r="S15" i="20"/>
  <c r="X15" i="20"/>
  <c r="L19" i="20"/>
  <c r="D15" i="20"/>
  <c r="L15" i="20"/>
  <c r="F14" i="2"/>
  <c r="G4" i="2"/>
  <c r="D14" i="2"/>
  <c r="I4" i="2"/>
  <c r="I14" i="2"/>
  <c r="J21" i="2"/>
  <c r="J17" i="2"/>
  <c r="B2" i="7"/>
  <c r="J4" i="2"/>
  <c r="J19" i="2"/>
  <c r="G14" i="2"/>
  <c r="O7" i="7"/>
  <c r="R7" i="7"/>
  <c r="L7" i="7"/>
  <c r="I7" i="7"/>
  <c r="F7" i="7"/>
  <c r="C7" i="7"/>
  <c r="C26" i="7"/>
  <c r="C42" i="7"/>
  <c r="K4" i="2"/>
  <c r="J14" i="2"/>
  <c r="J22" i="2"/>
  <c r="K5" i="2"/>
  <c r="K6" i="2"/>
  <c r="K7" i="2"/>
  <c r="K8" i="2"/>
  <c r="K9" i="2"/>
  <c r="K10" i="2"/>
  <c r="K11" i="2"/>
  <c r="K12" i="2"/>
  <c r="K13" i="2"/>
  <c r="L4" i="2"/>
  <c r="L5" i="2"/>
  <c r="L6" i="2"/>
  <c r="L7" i="2"/>
  <c r="L8" i="2"/>
  <c r="L9" i="2"/>
  <c r="L10" i="2"/>
  <c r="L11" i="2"/>
  <c r="L12" i="2"/>
  <c r="L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96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4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4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4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4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<sst xmlns="http://schemas.openxmlformats.org/spreadsheetml/2006/main" count="2361" uniqueCount="520">
  <si>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</si>
  <si>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</si>
  <si>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</si>
  <si>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</si>
  <si>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</si>
  <si>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</si>
  <si>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</si>
  <si>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</si>
  <si>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</si>
  <si>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</si>
  <si>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</si>
  <si>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</si>
  <si>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</si>
  <si>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</si>
  <si>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</si>
  <si>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</si>
  <si>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</si>
  <si>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</si>
  <si>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</si>
  <si>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</si>
  <si>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</si>
  <si>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</si>
  <si>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</si>
  <si>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</si>
  <si>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</si>
  <si>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</si>
  <si>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</si>
  <si>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</si>
  <si>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</si>
  <si>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</si>
  <si>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</si>
  <si>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</si>
  <si>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</si>
  <si>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</si>
  <si>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</si>
  <si>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</si>
  <si>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</si>
  <si>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</si>
  <si>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</si>
  <si>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</si>
  <si>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</si>
  <si>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</si>
  <si>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</si>
  <si>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</si>
  <si>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</si>
  <si>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</si>
  <si>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</si>
  <si>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</si>
  <si>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</si>
  <si>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</si>
  <si>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</si>
  <si>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</si>
  <si>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</si>
  <si>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</si>
  <si>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</si>
  <si>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</si>
  <si>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</si>
  <si>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</si>
  <si>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</si>
  <si>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</si>
  <si>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</si>
  <si>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</si>
  <si>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</si>
  <si>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</si>
  <si>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</si>
  <si>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</si>
  <si>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</si>
  <si>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</si>
  <si>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</si>
  <si>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</si>
  <si>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</si>
  <si>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</si>
  <si>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</si>
  <si>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</si>
  <si>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</si>
  <si>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</si>
  <si>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</si>
  <si>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</si>
  <si>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</si>
  <si>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</si>
  <si>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</si>
  <si>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</si>
  <si>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</si>
  <si>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</si>
  <si>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</si>
  <si>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</si>
  <si>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</si>
  <si>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</si>
  <si>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</si>
  <si>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</si>
  <si>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</si>
  <si>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</si>
  <si>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</si>
  <si>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</si>
  <si>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</si>
  <si>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</si>
  <si>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</si>
  <si>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</si>
  <si>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</si>
  <si>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</si>
  <si>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</si>
  <si>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</si>
  <si>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</si>
  <si>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</si>
  <si>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</si>
  <si>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</si>
  <si>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</si>
  <si>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</si>
  <si>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</si>
  <si>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</si>
  <si>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</si>
  <si>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</si>
  <si>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</si>
  <si>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</si>
  <si>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</si>
  <si>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</si>
  <si>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</si>
  <si>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</si>
  <si>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</si>
  <si>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</si>
  <si>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</si>
  <si>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</si>
  <si>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</si>
  <si>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</si>
  <si>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</si>
  <si>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</si>
  <si>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</si>
  <si>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</si>
  <si>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</si>
  <si>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</si>
  <si>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</si>
  <si>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</si>
  <si>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</si>
  <si>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</si>
  <si>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</si>
  <si>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</si>
  <si>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</si>
  <si>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</si>
  <si>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</si>
  <si>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</si>
  <si>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</si>
  <si>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</si>
  <si>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</si>
  <si>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</si>
  <si>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</si>
  <si>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</si>
  <si>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</si>
  <si>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</si>
  <si>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</si>
  <si>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</si>
  <si>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</si>
  <si>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</si>
  <si>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</si>
  <si>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</si>
  <si>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</si>
  <si>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 xml:space="preserve">   Implementácia služieb </t>
  </si>
  <si>
    <t xml:space="preserve">   Testovanie služieb </t>
  </si>
  <si>
    <t xml:space="preserve">   Nasadenie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</si>
  <si>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</si>
  <si>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</si>
  <si>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</si>
  <si>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</si>
  <si>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</si>
  <si>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</si>
  <si>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</si>
  <si>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 xml:space="preserve"> </t>
  </si>
  <si>
    <t>Modul 2</t>
  </si>
  <si>
    <t>Modul 3</t>
  </si>
  <si>
    <t>Modul 4</t>
  </si>
  <si>
    <t>Modul 5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</si>
  <si>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</si>
  <si>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</si>
  <si>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</si>
  <si>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</si>
  <si>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</si>
  <si>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</si>
  <si>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</si>
  <si>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</si>
  <si>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</si>
  <si>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</si>
  <si>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</si>
  <si>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</si>
  <si>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</si>
  <si>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</si>
  <si>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</si>
  <si>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</si>
  <si>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</si>
  <si>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</si>
  <si>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</si>
  <si>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</si>
  <si>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</si>
  <si>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</si>
  <si>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</si>
  <si>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</si>
  <si>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</si>
  <si>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</si>
  <si>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</si>
  <si>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</si>
  <si>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</si>
  <si>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</si>
  <si>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</si>
  <si>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</si>
  <si>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</si>
  <si>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</si>
  <si>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</si>
  <si>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</si>
  <si>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</si>
  <si>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</si>
  <si>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</si>
  <si>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</si>
  <si>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</si>
  <si>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</si>
  <si>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</si>
  <si>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</si>
  <si>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</si>
  <si>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</si>
  <si>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</si>
  <si>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</si>
  <si>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</si>
  <si>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</si>
  <si>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</si>
  <si>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</si>
  <si>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</si>
  <si>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</si>
  <si>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</si>
  <si>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</si>
  <si>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</si>
  <si>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</si>
  <si>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</si>
  <si>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</si>
  <si>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</si>
  <si>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</si>
  <si>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</si>
  <si>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</si>
  <si>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</si>
  <si>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</si>
  <si>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Zdroj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</si>
  <si>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</si>
  <si>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</si>
  <si>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</si>
  <si>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</si>
  <si>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</si>
  <si>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</si>
  <si>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</si>
  <si>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</si>
  <si>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</si>
  <si>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</si>
  <si>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</si>
  <si>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</si>
  <si>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</si>
  <si>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</si>
  <si>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</si>
  <si>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</si>
  <si>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</si>
  <si>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</si>
  <si>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</si>
  <si>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</si>
  <si>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</si>
  <si>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</si>
  <si>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</si>
  <si>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</si>
  <si>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</si>
  <si>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</si>
  <si>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</si>
  <si>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</si>
  <si>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</si>
  <si>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</si>
  <si>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</si>
  <si>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</si>
  <si>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</si>
  <si>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</si>
  <si>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</si>
  <si>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</si>
  <si>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</si>
  <si>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</si>
  <si>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</si>
  <si>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</si>
  <si>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</si>
  <si>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</si>
  <si>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</si>
  <si>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</si>
  <si>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</si>
  <si>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</si>
  <si>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</si>
  <si>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</si>
  <si>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</si>
  <si>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</si>
  <si>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</si>
  <si>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</si>
  <si>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</si>
  <si>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</si>
  <si>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</si>
  <si>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</si>
  <si>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</si>
  <si>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</si>
  <si>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</si>
  <si>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</si>
  <si>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</si>
  <si>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</si>
  <si>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</si>
  <si>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</si>
  <si>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</si>
  <si>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</si>
  <si>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</si>
  <si>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</si>
  <si>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</si>
  <si>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</si>
  <si>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</si>
  <si>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</si>
  <si>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</si>
  <si>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</si>
  <si>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</si>
  <si>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</si>
  <si>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</si>
  <si>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</si>
  <si>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</si>
  <si>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</si>
  <si>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</si>
  <si>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</si>
  <si>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</si>
  <si>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</si>
  <si>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 xml:space="preserve">   Analýza a dizajn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</si>
  <si>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</si>
  <si>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</si>
  <si>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</si>
  <si>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</si>
  <si>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</si>
  <si>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</si>
  <si>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</si>
  <si>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</si>
  <si>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</si>
  <si>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</si>
  <si>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</si>
  <si>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</si>
  <si>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</si>
  <si>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</si>
  <si>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</si>
  <si>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</si>
  <si>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</si>
  <si>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</si>
  <si>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</si>
  <si>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</si>
  <si>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</si>
  <si>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</si>
  <si>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</si>
  <si>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</si>
  <si>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</si>
  <si>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</si>
  <si>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</si>
  <si>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</si>
  <si>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</si>
  <si>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</si>
  <si>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</si>
  <si>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</si>
  <si>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</si>
  <si>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</si>
  <si>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</si>
  <si>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</si>
  <si>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</si>
  <si>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</si>
  <si>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</si>
  <si>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</si>
  <si>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</si>
  <si>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</si>
  <si>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</si>
  <si>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</si>
  <si>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</si>
  <si>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</si>
  <si>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</si>
  <si>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</si>
  <si>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P0001_Elektronické_podanie_WEB_TO-BE</t>
  </si>
  <si>
    <t>P0002_Vyplácanie_finančných_náhrad_TO-BE</t>
  </si>
  <si>
    <t>Vyplnenie údajov a priloženie dokumentov</t>
  </si>
  <si>
    <t>Kontrola správnosti údajov</t>
  </si>
  <si>
    <t>Založenie záznamu vložením odovzdaných súborov</t>
  </si>
  <si>
    <t>Kontrola oprávnenosti žiadateľa a predmetu podania</t>
  </si>
  <si>
    <t>Priradenie záznamu OJ na spracovanie</t>
  </si>
  <si>
    <t>Evidencia rozhodnutia</t>
  </si>
  <si>
    <t>Preskúmanie rozhodnutia</t>
  </si>
  <si>
    <t>Získanie potvrdenia o právoplatnosti</t>
  </si>
  <si>
    <t>Kompletizácia podkladov</t>
  </si>
  <si>
    <t>Príprava platobného príkazu</t>
  </si>
  <si>
    <t>Kontrola spisu, schválenie a podpísanie platobného príkazu</t>
  </si>
  <si>
    <t>Kontrola spisu a vypracovanie podkladov pre úhrady</t>
  </si>
  <si>
    <t>Kontrola spisu, schválenie a podp. plat. Príkazu</t>
  </si>
  <si>
    <t>Doplnenie platobného príkazu"Povolený nad rámec rozpočtu"</t>
  </si>
  <si>
    <t>Podpísanie právneho aktu námestníkom GR</t>
  </si>
  <si>
    <t>Odsúhlasenie platby</t>
  </si>
  <si>
    <t>Generovanie platby a postúpenie platobného príkazu</t>
  </si>
  <si>
    <t>Identifikácia doručenia platby</t>
  </si>
  <si>
    <t>Evidencia prevzatia/neprevzatia platby</t>
  </si>
  <si>
    <t>Vyhotovenie výzvy na podanie žiadosti o opakovanie platby</t>
  </si>
  <si>
    <t>P_0003_Podanie_cez_schránku_ÚPVS_TO-BE</t>
  </si>
  <si>
    <t>Založenie záznamu s vložením odovzdaných súborov</t>
  </si>
  <si>
    <t>Uloženie podania a metadát</t>
  </si>
  <si>
    <t>Pridelenie záznamu OJ na spracovanie</t>
  </si>
  <si>
    <t>P0004_Podanie_poštou_papierové_TO-BE</t>
  </si>
  <si>
    <t>Prijatie došlej pošty</t>
  </si>
  <si>
    <t>Evidencia záznamu do registratúry</t>
  </si>
  <si>
    <t>Skenovanie dokumentu a priradenie k záznamu</t>
  </si>
  <si>
    <t>Osobné prebratie fyzického dokumentu</t>
  </si>
  <si>
    <t>Uloženie dokumentu do prevádzkového archívu</t>
  </si>
  <si>
    <t>Odoslanie fyzického dokumentu do RO</t>
  </si>
  <si>
    <t>Zaradenie do spisu</t>
  </si>
  <si>
    <t>Kontrola správnosti a úplnosti údajov</t>
  </si>
  <si>
    <t>P0005_Plnenie_odplatného_prevodu_TO-BE</t>
  </si>
  <si>
    <t>Zaslanie výzvy k platbe</t>
  </si>
  <si>
    <t>Príprava návrhu na vklad</t>
  </si>
  <si>
    <t>Zaslanie výzvy na podpis do vkladudo katastra</t>
  </si>
  <si>
    <t>Schválenie vkladu</t>
  </si>
  <si>
    <t>Podpis vkladu do katastra</t>
  </si>
  <si>
    <t>Podanie návrhu na vklad</t>
  </si>
  <si>
    <t>Aktualizácia právneho aktu</t>
  </si>
  <si>
    <t>P0006_Plnenie_reštitučných_nárokov_TO-BE</t>
  </si>
  <si>
    <t>Spracovanie výzvy na uplatnenie nároku</t>
  </si>
  <si>
    <t>Preskúmanie nároku</t>
  </si>
  <si>
    <t>Vypracovanie zamietavého stanoviska</t>
  </si>
  <si>
    <t>Príprava podkladov pre realizáciu finančnej náhrady</t>
  </si>
  <si>
    <t>Identifikácia vhodného pozemku</t>
  </si>
  <si>
    <t>Schválenie platobného príkazu</t>
  </si>
  <si>
    <t>Ocenenie náhradného pozemku a zabezp. znal. Posudku</t>
  </si>
  <si>
    <t>Ponukové konanie</t>
  </si>
  <si>
    <t>Realizácia vyplatenia finančných prostriedkov</t>
  </si>
  <si>
    <t>Príprava právneho aktu</t>
  </si>
  <si>
    <t>Schálenie právneho aktu</t>
  </si>
  <si>
    <t>Realizácia návrhu na vklad</t>
  </si>
  <si>
    <t>P0007_Plnenie_zmluvy_o_nájme_TO-BE</t>
  </si>
  <si>
    <t>Nastavenie platieb podľa podmienok zmluvy</t>
  </si>
  <si>
    <t>Vytvorenie faktúry</t>
  </si>
  <si>
    <t>Odoslanie faktúry poštou</t>
  </si>
  <si>
    <t>Odoslanie faktúry elektronicky</t>
  </si>
  <si>
    <t>Spracovanie prijatých platieb</t>
  </si>
  <si>
    <t>Evidencia a párovanie platieb Sledovanie pohľadáviek</t>
  </si>
  <si>
    <t>Riešenie pihľadávky</t>
  </si>
  <si>
    <t>Odoslanie upomienky</t>
  </si>
  <si>
    <t>Hodnotenie platobnej morálky</t>
  </si>
  <si>
    <t>P0008_Schválenie_právneho_aktu_TO_BE</t>
  </si>
  <si>
    <t>Kontrola FRAUD + úplnosť</t>
  </si>
  <si>
    <t>Schválenie právneho aktu do porady vedenia</t>
  </si>
  <si>
    <t>Odsúhlasenie právneho aktu na porade vedenia</t>
  </si>
  <si>
    <t>Anonimizácia a zverejnenie právneho aktu na portali SPF</t>
  </si>
  <si>
    <t>Realizácia zasadania rady fondu</t>
  </si>
  <si>
    <t>Schvaľovanie právneho aktu</t>
  </si>
  <si>
    <t>Notifikovanie účastníkom o neschválení právneho aktu</t>
  </si>
  <si>
    <t>Zverejnenie právneho aktu na CRZ ÚVSR</t>
  </si>
  <si>
    <t>Zverejnenie právneho aktu na portál SPF</t>
  </si>
  <si>
    <t>P0009_Stanovenie_ceny_TO-BE</t>
  </si>
  <si>
    <t>Kontrola podkladov pre stanovenie ceny</t>
  </si>
  <si>
    <t>Odsúhlasenie požiadavky na stanovenie ceny</t>
  </si>
  <si>
    <t>Pridelenie referentovi</t>
  </si>
  <si>
    <t>Stanovenie ceny</t>
  </si>
  <si>
    <t>Kontrola a odsúhlasenie ceny</t>
  </si>
  <si>
    <t>P0010_Zrušenie_a_vysporiadanie_podielového_spoluvlastníctva_TO-BE</t>
  </si>
  <si>
    <t>Doplnenie a posúdenie žiadosti vlastníka pozemku</t>
  </si>
  <si>
    <t>Preverenie predmetnej nehnuteľnosti</t>
  </si>
  <si>
    <t>Príprava dohody o reálnom rozdelení pozemku (RRP)</t>
  </si>
  <si>
    <t>Kontrola právneho aktu</t>
  </si>
  <si>
    <t>Vytvorenie návrhu na vklad</t>
  </si>
  <si>
    <t>Schválenie právneho aktu</t>
  </si>
  <si>
    <t>Zabezpečenie úhrady nákladov od účastníka</t>
  </si>
  <si>
    <t>Preverenie žiadosti o zrušenie a vysp. podielového spoluvlastníctva</t>
  </si>
  <si>
    <t>Zastupovanie neznámeho vlastníka pred súdom</t>
  </si>
  <si>
    <t>Vykonanie zápisu do katastra nehnuteľností</t>
  </si>
  <si>
    <t>Prijatie platby do depozitu</t>
  </si>
  <si>
    <t>Vedenie evidencie o vyvlastnení a finančných úhradách</t>
  </si>
  <si>
    <t>Vyplácanie finančných náhrad</t>
  </si>
  <si>
    <t>P0011_Príprava_právneho_aktu_TO-BE</t>
  </si>
  <si>
    <t>Zabezpečenie geometrických plánov a modulov</t>
  </si>
  <si>
    <t>Príprava návrhu právneho aktu</t>
  </si>
  <si>
    <t>Rokovanie o cene</t>
  </si>
  <si>
    <t>Príprava právneho aktu na schválenie</t>
  </si>
  <si>
    <t>Úprava právneho aktu</t>
  </si>
  <si>
    <t>Kontrola právneho aktu pred schálením</t>
  </si>
  <si>
    <t>Umiestnenie ochranných prvkov a uzamknutie aktu</t>
  </si>
  <si>
    <t>Zabezpečenie podpísania aktu druhou stranou</t>
  </si>
  <si>
    <t>V súčasnosti neexistuje</t>
  </si>
  <si>
    <t>Modul 1 Modul pre správu reštitúcii</t>
  </si>
  <si>
    <t>Modul 2 Modul pre správu depozitov</t>
  </si>
  <si>
    <t>Modul 3 Evidencia sťažnosti</t>
  </si>
  <si>
    <t>Koncová služba 3</t>
  </si>
  <si>
    <t>Koncová služba 4</t>
  </si>
  <si>
    <t>Koncová služba 5</t>
  </si>
  <si>
    <t>Koncová služba 6</t>
  </si>
  <si>
    <t>Koncová služba 7</t>
  </si>
  <si>
    <t>Modul 4 Register právnych aktov</t>
  </si>
  <si>
    <t>Modul 5 Modul pre usporiadanie  vlastnictva</t>
  </si>
  <si>
    <t>Modul 6 Modul pre evidenciu súdnych rozhodnutí</t>
  </si>
  <si>
    <t>Modul 7 Modul pre elektronické zasielanie stanovísk a vyjadrení</t>
  </si>
  <si>
    <t>Modul 7</t>
  </si>
  <si>
    <t>Modul 6 pre evidenciu súdnych rozhodnutí</t>
  </si>
  <si>
    <t>Modul 7 pre elektronické zasielanie stanovísk a vyjadrení</t>
  </si>
  <si>
    <t>IT analytik</t>
  </si>
  <si>
    <t>IT architekt</t>
  </si>
  <si>
    <t>Dátový kurátor - IT senior</t>
  </si>
  <si>
    <t>Dátový špecialista - IT senior</t>
  </si>
  <si>
    <t>IT programátor/vývojár</t>
  </si>
  <si>
    <t>Vlastník údajov - IT senior</t>
  </si>
  <si>
    <t>Školiteľ pre IT systémy</t>
  </si>
  <si>
    <t>IT tester</t>
  </si>
  <si>
    <t>Špecialista pre infraštruktúry/HW špecialista</t>
  </si>
  <si>
    <t>IT / IS konzultant (napr. SAP)</t>
  </si>
  <si>
    <t>Špecialista pre bezpečnosť IT</t>
  </si>
  <si>
    <t>Modul 6</t>
  </si>
  <si>
    <t>OK</t>
  </si>
  <si>
    <t>zálohovací SW (produkcia a test)</t>
  </si>
  <si>
    <t>Licencia na počet sockets hostov, a teda 2 socketový host vyžaduje 2 licencie. Cena určená na základe dostupných cien v internetových obchodoch, napr. www.asbis.sk</t>
  </si>
  <si>
    <t>Licencie centrálnej databázy (cluster produkcia a test)</t>
  </si>
  <si>
    <t>Výpočet licencie pre prípad MS SQL server databázy: (2x licencia produkcia cluster + 2x licencia test cluster) * 2 (kvôli počtu CPU a potrebe zalicencovania core). Cena určená na základe dostupných cien v internetových obchodoch, napr. www.microsoft.com</t>
  </si>
  <si>
    <t>Licencie platformy agendového informačného systému</t>
  </si>
  <si>
    <t>Licencie platformy pre správu priestorových údajov</t>
  </si>
  <si>
    <t>(1x licencia pre produkcia, 1x licencia test). Cena určená na základe odborného odhadu verejného obstarávateľa</t>
  </si>
  <si>
    <t>(1x licencia pre produkcia, 1x licencia test). Cena určená odhadom na základe obdobných projektov</t>
  </si>
  <si>
    <t>x</t>
  </si>
  <si>
    <t>?</t>
  </si>
  <si>
    <t>Slovenský pozemkový fond</t>
  </si>
  <si>
    <t>Búdková 3555/36, Bratislava</t>
  </si>
  <si>
    <t>http://www.pozfond.sk</t>
  </si>
  <si>
    <t>Ing. Branislav Vlčko</t>
  </si>
  <si>
    <t xml:space="preserve">   vlcko.branislav@pozfond.sk; +421918875326</t>
  </si>
  <si>
    <t xml:space="preserve">Vybudovanie centrálneho informačného systému organizácie SPF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</si>
</sst>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  <numFmt numFmtId="169" formatCode="0.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13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0" fillId="14" borderId="29" xfId="0" applyFont="1" applyFill="1" applyBorder="1"/>
    <xf numFmtId="1" fontId="40" fillId="0" borderId="0" xfId="0" applyNumberFormat="1" applyFont="1" applyFill="1" applyBorder="1"/>
    <xf numFmtId="0" fontId="35" fillId="0" borderId="0" xfId="0" applyFont="1" applyFill="1"/>
    <xf numFmtId="0" fontId="41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4" fontId="45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6" fontId="44" fillId="15" borderId="117" xfId="4" applyNumberFormat="1" applyFont="1" applyFill="1" applyBorder="1" applyAlignment="1">
      <alignment horizontal="right" vertical="center" wrapText="1"/>
    </xf>
    <xf numFmtId="3" fontId="44" fillId="15" borderId="117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" fontId="47" fillId="9" borderId="117" xfId="2" applyNumberFormat="1" applyFont="1" applyFill="1" applyBorder="1" applyAlignment="1">
      <alignment horizontal="right" vertical="center" wrapText="1"/>
    </xf>
    <xf numFmtId="166" fontId="48" fillId="9" borderId="117" xfId="4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3" fontId="48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0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0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5" xfId="0" applyFont="1" applyFill="1" applyBorder="1" applyAlignment="1">
      <alignment vertical="center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0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38" fillId="17" borderId="135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8" fillId="0" borderId="152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0" fillId="17" borderId="124" xfId="0" applyFill="1" applyBorder="1" applyAlignment="1">
      <alignment horizontal="center"/>
    </xf>
    <xf numFmtId="0" fontId="0" fillId="17" borderId="152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0" fillId="17" borderId="152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8" fillId="0" borderId="0" xfId="0" applyFont="1"/>
    <xf numFmtId="2" fontId="40" fillId="14" borderId="69" xfId="0" applyNumberFormat="1" applyFont="1" applyFill="1" applyBorder="1" applyAlignment="1">
      <alignment horizontal="center" vertical="center"/>
    </xf>
    <xf numFmtId="2" fontId="40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3" xfId="0" applyFont="1" applyFill="1" applyBorder="1"/>
    <xf numFmtId="0" fontId="8" fillId="9" borderId="149" xfId="0" applyFont="1" applyFill="1" applyBorder="1"/>
    <xf numFmtId="0" fontId="8" fillId="9" borderId="151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2" fillId="17" borderId="155" xfId="0" applyFont="1" applyFill="1" applyBorder="1" applyAlignment="1">
      <alignment horizontal="center" vertical="center"/>
    </xf>
    <xf numFmtId="0" fontId="42" fillId="17" borderId="156" xfId="0" applyFont="1" applyFill="1" applyBorder="1" applyAlignment="1">
      <alignment horizontal="center" vertical="center"/>
    </xf>
    <xf numFmtId="0" fontId="42" fillId="17" borderId="157" xfId="0" applyFont="1" applyFill="1" applyBorder="1" applyAlignment="1">
      <alignment horizontal="center" vertical="center"/>
    </xf>
    <xf numFmtId="0" fontId="42" fillId="17" borderId="158" xfId="0" applyFont="1" applyFill="1" applyBorder="1" applyAlignment="1">
      <alignment horizontal="center" vertical="center"/>
    </xf>
    <xf numFmtId="0" fontId="42" fillId="17" borderId="159" xfId="0" applyFont="1" applyFill="1" applyBorder="1" applyAlignment="1">
      <alignment horizontal="center" vertical="center"/>
    </xf>
    <xf numFmtId="0" fontId="42" fillId="17" borderId="160" xfId="0" applyFont="1" applyFill="1" applyBorder="1" applyAlignment="1">
      <alignment horizontal="center" vertical="center"/>
    </xf>
    <xf numFmtId="0" fontId="42" fillId="17" borderId="161" xfId="0" applyFont="1" applyFill="1" applyBorder="1" applyAlignment="1">
      <alignment horizontal="center" vertical="center"/>
    </xf>
    <xf numFmtId="0" fontId="42" fillId="17" borderId="162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1" fillId="21" borderId="114" xfId="6" applyFont="1" applyFill="1" applyBorder="1" applyAlignment="1">
      <alignment vertical="center"/>
    </xf>
    <xf numFmtId="0" fontId="61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5" fontId="8" fillId="19" borderId="22" xfId="5" applyNumberFormat="1" applyFont="1" applyFill="1" applyBorder="1" applyProtection="1"/>
    <xf numFmtId="165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7" fontId="0" fillId="0" borderId="14" xfId="5" applyNumberFormat="1" applyFont="1" applyBorder="1" applyAlignment="1" applyProtection="1">
      <alignment horizontal="center" vertical="center" wrapText="1"/>
    </xf>
    <xf numFmtId="167" fontId="0" fillId="0" borderId="23" xfId="5" applyNumberFormat="1" applyFont="1" applyBorder="1" applyAlignment="1" applyProtection="1">
      <alignment horizontal="center" vertical="center" wrapText="1"/>
    </xf>
    <xf numFmtId="167" fontId="0" fillId="0" borderId="13" xfId="5" applyNumberFormat="1" applyFont="1" applyBorder="1" applyAlignment="1" applyProtection="1">
      <alignment horizontal="center" vertical="center" wrapText="1"/>
    </xf>
    <xf numFmtId="167" fontId="14" fillId="5" borderId="53" xfId="5" applyNumberFormat="1" applyFont="1" applyFill="1" applyBorder="1" applyAlignment="1" applyProtection="1">
      <alignment horizontal="center" vertical="center" wrapText="1"/>
    </xf>
    <xf numFmtId="167" fontId="56" fillId="20" borderId="53" xfId="5" applyNumberFormat="1" applyFont="1" applyFill="1" applyBorder="1" applyAlignment="1" applyProtection="1">
      <alignment horizontal="center" vertical="center" wrapText="1"/>
    </xf>
    <xf numFmtId="167" fontId="14" fillId="5" borderId="100" xfId="5" applyNumberFormat="1" applyFont="1" applyFill="1" applyBorder="1" applyAlignment="1" applyProtection="1">
      <alignment horizontal="center" vertical="center" wrapText="1"/>
    </xf>
    <xf numFmtId="167" fontId="56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7" fontId="0" fillId="0" borderId="24" xfId="5" applyNumberFormat="1" applyFont="1" applyBorder="1" applyAlignment="1" applyProtection="1">
      <alignment horizontal="center" vertical="center" wrapText="1"/>
    </xf>
    <xf numFmtId="167" fontId="0" fillId="0" borderId="0" xfId="5" applyNumberFormat="1" applyFont="1" applyBorder="1" applyAlignment="1" applyProtection="1">
      <alignment horizontal="center" vertical="center" wrapText="1"/>
    </xf>
    <xf numFmtId="167" fontId="0" fillId="0" borderId="6" xfId="5" applyNumberFormat="1" applyFont="1" applyBorder="1" applyAlignment="1" applyProtection="1">
      <alignment horizontal="center" vertical="center" wrapText="1"/>
    </xf>
    <xf numFmtId="167" fontId="14" fillId="5" borderId="17" xfId="5" applyNumberFormat="1" applyFont="1" applyFill="1" applyBorder="1" applyAlignment="1" applyProtection="1">
      <alignment horizontal="center" vertical="center" wrapText="1"/>
    </xf>
    <xf numFmtId="167" fontId="56" fillId="20" borderId="17" xfId="5" applyNumberFormat="1" applyFont="1" applyFill="1" applyBorder="1" applyAlignment="1" applyProtection="1">
      <alignment horizontal="center" vertical="center" wrapText="1"/>
    </xf>
    <xf numFmtId="167" fontId="14" fillId="5" borderId="127" xfId="5" applyNumberFormat="1" applyFont="1" applyFill="1" applyBorder="1" applyAlignment="1" applyProtection="1">
      <alignment horizontal="center" vertical="center" wrapText="1"/>
    </xf>
    <xf numFmtId="167" fontId="56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7" fontId="0" fillId="0" borderId="15" xfId="5" applyNumberFormat="1" applyFont="1" applyBorder="1" applyAlignment="1" applyProtection="1">
      <alignment horizontal="center" vertical="center" wrapText="1"/>
    </xf>
    <xf numFmtId="167" fontId="0" fillId="0" borderId="26" xfId="5" applyNumberFormat="1" applyFont="1" applyBorder="1" applyAlignment="1" applyProtection="1">
      <alignment horizontal="center" vertical="center" wrapText="1"/>
    </xf>
    <xf numFmtId="167" fontId="0" fillId="0" borderId="5" xfId="5" applyNumberFormat="1" applyFont="1" applyBorder="1" applyAlignment="1" applyProtection="1">
      <alignment horizontal="center" vertical="center" wrapText="1"/>
    </xf>
    <xf numFmtId="167" fontId="14" fillId="5" borderId="56" xfId="5" applyNumberFormat="1" applyFont="1" applyFill="1" applyBorder="1" applyAlignment="1" applyProtection="1">
      <alignment horizontal="center" vertical="center" wrapText="1"/>
    </xf>
    <xf numFmtId="167" fontId="56" fillId="20" borderId="56" xfId="5" applyNumberFormat="1" applyFont="1" applyFill="1" applyBorder="1" applyAlignment="1" applyProtection="1">
      <alignment horizontal="center" vertical="center" wrapText="1"/>
    </xf>
    <xf numFmtId="167" fontId="14" fillId="5" borderId="128" xfId="5" applyNumberFormat="1" applyFont="1" applyFill="1" applyBorder="1" applyAlignment="1" applyProtection="1">
      <alignment horizontal="center" vertical="center" wrapText="1"/>
    </xf>
    <xf numFmtId="167" fontId="56" fillId="20" borderId="99" xfId="5" applyNumberFormat="1" applyFont="1" applyFill="1" applyBorder="1" applyAlignment="1" applyProtection="1">
      <alignment horizontal="center" vertical="center" wrapText="1"/>
    </xf>
    <xf numFmtId="168" fontId="0" fillId="0" borderId="14" xfId="0" applyNumberFormat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 wrapText="1"/>
    </xf>
    <xf numFmtId="168" fontId="0" fillId="0" borderId="13" xfId="0" applyNumberFormat="1" applyBorder="1" applyAlignment="1" applyProtection="1">
      <alignment horizontal="center" vertical="center" wrapText="1"/>
    </xf>
    <xf numFmtId="168" fontId="14" fillId="5" borderId="84" xfId="3" applyNumberFormat="1" applyFont="1" applyBorder="1" applyAlignment="1" applyProtection="1">
      <alignment horizontal="center" vertical="center" wrapText="1"/>
    </xf>
    <xf numFmtId="168" fontId="14" fillId="5" borderId="53" xfId="3" applyNumberFormat="1" applyFont="1" applyBorder="1" applyAlignment="1" applyProtection="1">
      <alignment horizontal="center" vertical="center" wrapText="1"/>
    </xf>
    <xf numFmtId="168" fontId="56" fillId="20" borderId="53" xfId="3" applyNumberFormat="1" applyFont="1" applyFill="1" applyBorder="1" applyAlignment="1" applyProtection="1">
      <alignment horizontal="center" vertical="center" wrapText="1"/>
    </xf>
    <xf numFmtId="168" fontId="14" fillId="5" borderId="129" xfId="3" applyNumberFormat="1" applyFont="1" applyBorder="1" applyAlignment="1" applyProtection="1">
      <alignment horizontal="center" vertical="center" wrapText="1"/>
    </xf>
    <xf numFmtId="168" fontId="56" fillId="20" borderId="97" xfId="3" applyNumberFormat="1" applyFont="1" applyFill="1" applyBorder="1" applyAlignment="1" applyProtection="1">
      <alignment horizontal="center" vertical="center" wrapText="1"/>
    </xf>
    <xf numFmtId="168" fontId="0" fillId="0" borderId="24" xfId="0" applyNumberFormat="1" applyBorder="1" applyAlignment="1" applyProtection="1">
      <alignment horizontal="center" vertical="center" wrapText="1"/>
    </xf>
    <xf numFmtId="168" fontId="0" fillId="0" borderId="0" xfId="0" applyNumberFormat="1" applyBorder="1" applyAlignment="1" applyProtection="1">
      <alignment horizontal="center" vertical="center" wrapText="1"/>
    </xf>
    <xf numFmtId="168" fontId="0" fillId="0" borderId="6" xfId="0" applyNumberFormat="1" applyBorder="1" applyAlignment="1" applyProtection="1">
      <alignment horizontal="center" vertical="center" wrapText="1"/>
    </xf>
    <xf numFmtId="168" fontId="14" fillId="5" borderId="41" xfId="3" applyNumberFormat="1" applyFont="1" applyBorder="1" applyAlignment="1" applyProtection="1">
      <alignment horizontal="center" vertical="center" wrapText="1"/>
    </xf>
    <xf numFmtId="168" fontId="14" fillId="5" borderId="17" xfId="3" applyNumberFormat="1" applyFont="1" applyBorder="1" applyAlignment="1" applyProtection="1">
      <alignment horizontal="center" vertical="center" wrapText="1"/>
    </xf>
    <xf numFmtId="168" fontId="56" fillId="20" borderId="17" xfId="3" applyNumberFormat="1" applyFont="1" applyFill="1" applyBorder="1" applyAlignment="1" applyProtection="1">
      <alignment horizontal="center" vertical="center" wrapText="1"/>
    </xf>
    <xf numFmtId="168" fontId="14" fillId="5" borderId="127" xfId="3" applyNumberFormat="1" applyFont="1" applyBorder="1" applyAlignment="1" applyProtection="1">
      <alignment horizontal="center" vertical="center" wrapText="1"/>
    </xf>
    <xf numFmtId="168" fontId="56" fillId="20" borderId="98" xfId="3" applyNumberFormat="1" applyFont="1" applyFill="1" applyBorder="1" applyAlignment="1" applyProtection="1">
      <alignment horizontal="center" vertical="center" wrapText="1"/>
    </xf>
    <xf numFmtId="168" fontId="0" fillId="0" borderId="15" xfId="0" applyNumberFormat="1" applyBorder="1" applyAlignment="1" applyProtection="1">
      <alignment horizontal="center" vertical="center" wrapText="1"/>
    </xf>
    <xf numFmtId="168" fontId="0" fillId="0" borderId="26" xfId="0" applyNumberFormat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horizontal="center" vertical="center" wrapText="1"/>
    </xf>
    <xf numFmtId="168" fontId="14" fillId="5" borderId="85" xfId="3" applyNumberFormat="1" applyFont="1" applyBorder="1" applyAlignment="1" applyProtection="1">
      <alignment horizontal="center" vertical="center" wrapText="1"/>
    </xf>
    <xf numFmtId="168" fontId="14" fillId="5" borderId="56" xfId="3" applyNumberFormat="1" applyFont="1" applyBorder="1" applyAlignment="1" applyProtection="1">
      <alignment horizontal="center" vertical="center" wrapText="1"/>
    </xf>
    <xf numFmtId="168" fontId="56" fillId="20" borderId="56" xfId="3" applyNumberFormat="1" applyFont="1" applyFill="1" applyBorder="1" applyAlignment="1" applyProtection="1">
      <alignment horizontal="center" vertical="center" wrapText="1"/>
    </xf>
    <xf numFmtId="168" fontId="14" fillId="5" borderId="128" xfId="3" applyNumberFormat="1" applyFont="1" applyBorder="1" applyAlignment="1" applyProtection="1">
      <alignment horizontal="center" vertical="center" wrapText="1"/>
    </xf>
    <xf numFmtId="168" fontId="56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4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6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6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7" fontId="57" fillId="20" borderId="24" xfId="5" applyNumberFormat="1" applyFont="1" applyFill="1" applyBorder="1" applyAlignment="1" applyProtection="1">
      <alignment horizontal="center" vertical="center" wrapText="1"/>
    </xf>
    <xf numFmtId="167" fontId="57" fillId="20" borderId="0" xfId="5" applyNumberFormat="1" applyFont="1" applyFill="1" applyBorder="1" applyAlignment="1" applyProtection="1">
      <alignment horizontal="center" vertical="center" wrapText="1"/>
    </xf>
    <xf numFmtId="167" fontId="57" fillId="20" borderId="6" xfId="5" applyNumberFormat="1" applyFont="1" applyFill="1" applyBorder="1" applyAlignment="1" applyProtection="1">
      <alignment horizontal="center" vertical="center" wrapText="1"/>
    </xf>
    <xf numFmtId="167" fontId="56" fillId="23" borderId="137" xfId="5" applyNumberFormat="1" applyFont="1" applyFill="1" applyBorder="1" applyAlignment="1" applyProtection="1">
      <alignment horizontal="center" vertical="center" wrapText="1"/>
    </xf>
    <xf numFmtId="167" fontId="56" fillId="23" borderId="138" xfId="5" applyNumberFormat="1" applyFont="1" applyFill="1" applyBorder="1" applyAlignment="1" applyProtection="1">
      <alignment horizontal="center" vertical="center" wrapText="1"/>
    </xf>
    <xf numFmtId="167" fontId="56" fillId="20" borderId="138" xfId="5" applyNumberFormat="1" applyFont="1" applyFill="1" applyBorder="1" applyAlignment="1" applyProtection="1">
      <alignment horizontal="center" vertical="center" wrapText="1"/>
    </xf>
    <xf numFmtId="167" fontId="56" fillId="23" borderId="139" xfId="5" applyNumberFormat="1" applyFont="1" applyFill="1" applyBorder="1" applyAlignment="1" applyProtection="1">
      <alignment horizontal="center" vertical="center" wrapText="1"/>
    </xf>
    <xf numFmtId="167" fontId="56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7" fontId="56" fillId="23" borderId="41" xfId="5" applyNumberFormat="1" applyFont="1" applyFill="1" applyBorder="1" applyAlignment="1" applyProtection="1">
      <alignment horizontal="center" vertical="center" wrapText="1"/>
    </xf>
    <xf numFmtId="167" fontId="56" fillId="23" borderId="17" xfId="5" applyNumberFormat="1" applyFont="1" applyFill="1" applyBorder="1" applyAlignment="1" applyProtection="1">
      <alignment horizontal="center" vertical="center" wrapText="1"/>
    </xf>
    <xf numFmtId="167" fontId="56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7" fontId="57" fillId="20" borderId="15" xfId="5" applyNumberFormat="1" applyFont="1" applyFill="1" applyBorder="1" applyAlignment="1" applyProtection="1">
      <alignment horizontal="center" vertical="center" wrapText="1"/>
    </xf>
    <xf numFmtId="167" fontId="57" fillId="20" borderId="26" xfId="5" applyNumberFormat="1" applyFont="1" applyFill="1" applyBorder="1" applyAlignment="1" applyProtection="1">
      <alignment horizontal="center" vertical="center" wrapText="1"/>
    </xf>
    <xf numFmtId="167" fontId="57" fillId="20" borderId="5" xfId="5" applyNumberFormat="1" applyFont="1" applyFill="1" applyBorder="1" applyAlignment="1" applyProtection="1">
      <alignment horizontal="center" vertical="center" wrapText="1"/>
    </xf>
    <xf numFmtId="167" fontId="56" fillId="23" borderId="85" xfId="5" applyNumberFormat="1" applyFont="1" applyFill="1" applyBorder="1" applyAlignment="1" applyProtection="1">
      <alignment horizontal="center" vertical="center" wrapText="1"/>
    </xf>
    <xf numFmtId="167" fontId="56" fillId="23" borderId="56" xfId="5" applyNumberFormat="1" applyFont="1" applyFill="1" applyBorder="1" applyAlignment="1" applyProtection="1">
      <alignment horizontal="center" vertical="center" wrapText="1"/>
    </xf>
    <xf numFmtId="167" fontId="56" fillId="23" borderId="128" xfId="5" applyNumberFormat="1" applyFont="1" applyFill="1" applyBorder="1" applyAlignment="1" applyProtection="1">
      <alignment horizontal="center" vertical="center" wrapText="1"/>
    </xf>
    <xf numFmtId="167" fontId="56" fillId="23" borderId="84" xfId="5" applyNumberFormat="1" applyFont="1" applyFill="1" applyBorder="1" applyAlignment="1" applyProtection="1">
      <alignment horizontal="center" vertical="center" wrapText="1"/>
    </xf>
    <xf numFmtId="167" fontId="56" fillId="23" borderId="53" xfId="5" applyNumberFormat="1" applyFont="1" applyFill="1" applyBorder="1" applyAlignment="1" applyProtection="1">
      <alignment horizontal="center" vertical="center" wrapText="1"/>
    </xf>
    <xf numFmtId="167" fontId="56" fillId="23" borderId="129" xfId="5" applyNumberFormat="1" applyFont="1" applyFill="1" applyBorder="1" applyAlignment="1" applyProtection="1">
      <alignment horizontal="center" vertical="center" wrapText="1"/>
    </xf>
    <xf numFmtId="167" fontId="56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8" fontId="57" fillId="20" borderId="24" xfId="5" applyNumberFormat="1" applyFont="1" applyFill="1" applyBorder="1" applyAlignment="1" applyProtection="1">
      <alignment horizontal="center" vertical="center" wrapText="1"/>
    </xf>
    <xf numFmtId="168" fontId="57" fillId="20" borderId="0" xfId="5" applyNumberFormat="1" applyFont="1" applyFill="1" applyBorder="1" applyAlignment="1" applyProtection="1">
      <alignment horizontal="center" vertical="center" wrapText="1"/>
    </xf>
    <xf numFmtId="168" fontId="57" fillId="20" borderId="6" xfId="5" applyNumberFormat="1" applyFont="1" applyFill="1" applyBorder="1" applyAlignment="1" applyProtection="1">
      <alignment horizontal="center" vertical="center" wrapText="1"/>
    </xf>
    <xf numFmtId="168" fontId="56" fillId="23" borderId="84" xfId="5" applyNumberFormat="1" applyFont="1" applyFill="1" applyBorder="1" applyAlignment="1" applyProtection="1">
      <alignment horizontal="center" vertical="center" wrapText="1"/>
    </xf>
    <xf numFmtId="168" fontId="56" fillId="23" borderId="53" xfId="5" applyNumberFormat="1" applyFont="1" applyFill="1" applyBorder="1" applyAlignment="1" applyProtection="1">
      <alignment horizontal="center" vertical="center" wrapText="1"/>
    </xf>
    <xf numFmtId="168" fontId="56" fillId="20" borderId="53" xfId="5" applyNumberFormat="1" applyFont="1" applyFill="1" applyBorder="1" applyAlignment="1" applyProtection="1">
      <alignment horizontal="center" vertical="center" wrapText="1"/>
    </xf>
    <xf numFmtId="168" fontId="56" fillId="23" borderId="129" xfId="5" applyNumberFormat="1" applyFont="1" applyFill="1" applyBorder="1" applyAlignment="1" applyProtection="1">
      <alignment horizontal="center" vertical="center" wrapText="1"/>
    </xf>
    <xf numFmtId="168" fontId="56" fillId="20" borderId="97" xfId="5" applyNumberFormat="1" applyFont="1" applyFill="1" applyBorder="1" applyAlignment="1" applyProtection="1">
      <alignment horizontal="center" vertical="center" wrapText="1"/>
    </xf>
    <xf numFmtId="168" fontId="56" fillId="23" borderId="41" xfId="5" applyNumberFormat="1" applyFont="1" applyFill="1" applyBorder="1" applyAlignment="1" applyProtection="1">
      <alignment horizontal="center" vertical="center" wrapText="1"/>
    </xf>
    <xf numFmtId="168" fontId="56" fillId="23" borderId="17" xfId="5" applyNumberFormat="1" applyFont="1" applyFill="1" applyBorder="1" applyAlignment="1" applyProtection="1">
      <alignment horizontal="center" vertical="center" wrapText="1"/>
    </xf>
    <xf numFmtId="168" fontId="56" fillId="20" borderId="17" xfId="5" applyNumberFormat="1" applyFont="1" applyFill="1" applyBorder="1" applyAlignment="1" applyProtection="1">
      <alignment horizontal="center" vertical="center" wrapText="1"/>
    </xf>
    <xf numFmtId="168" fontId="56" fillId="23" borderId="127" xfId="5" applyNumberFormat="1" applyFont="1" applyFill="1" applyBorder="1" applyAlignment="1" applyProtection="1">
      <alignment horizontal="center" vertical="center" wrapText="1"/>
    </xf>
    <xf numFmtId="168" fontId="56" fillId="20" borderId="98" xfId="5" applyNumberFormat="1" applyFont="1" applyFill="1" applyBorder="1" applyAlignment="1" applyProtection="1">
      <alignment horizontal="center" vertical="center" wrapText="1"/>
    </xf>
    <xf numFmtId="168" fontId="57" fillId="20" borderId="15" xfId="5" applyNumberFormat="1" applyFont="1" applyFill="1" applyBorder="1" applyAlignment="1" applyProtection="1">
      <alignment horizontal="center" vertical="center" wrapText="1"/>
    </xf>
    <xf numFmtId="168" fontId="57" fillId="20" borderId="26" xfId="5" applyNumberFormat="1" applyFont="1" applyFill="1" applyBorder="1" applyAlignment="1" applyProtection="1">
      <alignment horizontal="center" vertical="center" wrapText="1"/>
    </xf>
    <xf numFmtId="168" fontId="57" fillId="20" borderId="5" xfId="5" applyNumberFormat="1" applyFont="1" applyFill="1" applyBorder="1" applyAlignment="1" applyProtection="1">
      <alignment horizontal="center" vertical="center" wrapText="1"/>
    </xf>
    <xf numFmtId="168" fontId="56" fillId="23" borderId="85" xfId="5" applyNumberFormat="1" applyFont="1" applyFill="1" applyBorder="1" applyAlignment="1" applyProtection="1">
      <alignment horizontal="center" vertical="center" wrapText="1"/>
    </xf>
    <xf numFmtId="168" fontId="56" fillId="23" borderId="56" xfId="5" applyNumberFormat="1" applyFont="1" applyFill="1" applyBorder="1" applyAlignment="1" applyProtection="1">
      <alignment horizontal="center" vertical="center" wrapText="1"/>
    </xf>
    <xf numFmtId="168" fontId="56" fillId="20" borderId="56" xfId="5" applyNumberFormat="1" applyFont="1" applyFill="1" applyBorder="1" applyAlignment="1" applyProtection="1">
      <alignment horizontal="center" vertical="center" wrapText="1"/>
    </xf>
    <xf numFmtId="168" fontId="56" fillId="23" borderId="128" xfId="5" applyNumberFormat="1" applyFont="1" applyFill="1" applyBorder="1" applyAlignment="1" applyProtection="1">
      <alignment horizontal="center" vertical="center" wrapText="1"/>
    </xf>
    <xf numFmtId="168" fontId="56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3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5" fontId="8" fillId="19" borderId="147" xfId="5" applyNumberFormat="1" applyFont="1" applyFill="1" applyBorder="1" applyProtection="1"/>
    <xf numFmtId="0" fontId="55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4" xfId="7" applyFont="1" applyFill="1" applyBorder="1" applyAlignment="1">
      <alignment horizontal="left" vertical="center"/>
    </xf>
    <xf numFmtId="0" fontId="39" fillId="17" borderId="165" xfId="0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5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6" fillId="20" borderId="166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5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165" fontId="62" fillId="19" borderId="22" xfId="5" applyNumberFormat="1" applyFont="1" applyFill="1" applyBorder="1" applyProtection="1"/>
    <xf numFmtId="165" fontId="62" fillId="19" borderId="125" xfId="5" applyNumberFormat="1" applyFont="1" applyFill="1" applyBorder="1" applyProtection="1"/>
    <xf numFmtId="165" fontId="62" fillId="19" borderId="147" xfId="5" applyNumberFormat="1" applyFont="1" applyFill="1" applyBorder="1" applyProtection="1"/>
    <xf numFmtId="165" fontId="57" fillId="22" borderId="22" xfId="5" applyNumberFormat="1" applyFont="1" applyFill="1" applyBorder="1" applyProtection="1"/>
    <xf numFmtId="165" fontId="57" fillId="22" borderId="125" xfId="5" applyNumberFormat="1" applyFont="1" applyFill="1" applyBorder="1" applyProtection="1"/>
    <xf numFmtId="165" fontId="57" fillId="22" borderId="147" xfId="5" applyNumberFormat="1" applyFont="1" applyFill="1" applyBorder="1" applyProtection="1"/>
    <xf numFmtId="165" fontId="63" fillId="21" borderId="22" xfId="5" applyNumberFormat="1" applyFont="1" applyFill="1" applyBorder="1" applyProtection="1"/>
    <xf numFmtId="165" fontId="63" fillId="21" borderId="125" xfId="5" applyNumberFormat="1" applyFont="1" applyFill="1" applyBorder="1" applyProtection="1"/>
    <xf numFmtId="165" fontId="63" fillId="21" borderId="147" xfId="5" applyNumberFormat="1" applyFont="1" applyFill="1" applyBorder="1" applyProtection="1"/>
    <xf numFmtId="165" fontId="63" fillId="21" borderId="22" xfId="5" applyNumberFormat="1" applyFont="1" applyFill="1" applyBorder="1" applyAlignment="1" applyProtection="1">
      <alignment horizontal="center"/>
    </xf>
    <xf numFmtId="165" fontId="63" fillId="21" borderId="125" xfId="5" applyNumberFormat="1" applyFont="1" applyFill="1" applyBorder="1" applyAlignment="1" applyProtection="1">
      <alignment horizontal="center"/>
    </xf>
    <xf numFmtId="165" fontId="63" fillId="21" borderId="147" xfId="5" applyNumberFormat="1" applyFont="1" applyFill="1" applyBorder="1" applyAlignment="1" applyProtection="1">
      <alignment horizontal="center"/>
    </xf>
    <xf numFmtId="165" fontId="63" fillId="21" borderId="86" xfId="5" applyNumberFormat="1" applyFont="1" applyFill="1" applyBorder="1" applyProtection="1"/>
    <xf numFmtId="165" fontId="63" fillId="21" borderId="122" xfId="5" applyNumberFormat="1" applyFont="1" applyFill="1" applyBorder="1" applyProtection="1"/>
    <xf numFmtId="165" fontId="63" fillId="21" borderId="154" xfId="5" applyNumberFormat="1" applyFont="1" applyFill="1" applyBorder="1" applyProtection="1"/>
    <xf numFmtId="165" fontId="63" fillId="21" borderId="148" xfId="5" applyNumberFormat="1" applyFont="1" applyFill="1" applyBorder="1" applyProtection="1"/>
    <xf numFmtId="0" fontId="67" fillId="13" borderId="6" xfId="0" applyFont="1" applyFill="1" applyBorder="1" applyAlignment="1">
      <alignment horizontal="center" vertical="center"/>
    </xf>
    <xf numFmtId="3" fontId="68" fillId="14" borderId="28" xfId="0" applyNumberFormat="1" applyFont="1" applyFill="1" applyBorder="1" applyAlignment="1">
      <alignment horizontal="center" vertical="center"/>
    </xf>
    <xf numFmtId="3" fontId="68" fillId="14" borderId="30" xfId="0" applyNumberFormat="1" applyFont="1" applyFill="1" applyBorder="1" applyAlignment="1">
      <alignment horizontal="center" vertical="center"/>
    </xf>
    <xf numFmtId="0" fontId="67" fillId="22" borderId="24" xfId="0" applyFont="1" applyFill="1" applyBorder="1" applyAlignment="1">
      <alignment horizontal="center" vertical="center"/>
    </xf>
    <xf numFmtId="0" fontId="67" fillId="22" borderId="6" xfId="0" applyFont="1" applyFill="1" applyBorder="1" applyAlignment="1">
      <alignment horizontal="center" vertical="center"/>
    </xf>
    <xf numFmtId="3" fontId="67" fillId="22" borderId="24" xfId="0" applyNumberFormat="1" applyFont="1" applyFill="1" applyBorder="1" applyAlignment="1">
      <alignment horizontal="center" vertical="center"/>
    </xf>
    <xf numFmtId="3" fontId="67" fillId="22" borderId="6" xfId="0" applyNumberFormat="1" applyFont="1" applyFill="1" applyBorder="1" applyAlignment="1">
      <alignment horizontal="center" vertical="center"/>
    </xf>
    <xf numFmtId="0" fontId="67" fillId="22" borderId="131" xfId="0" applyFont="1" applyFill="1" applyBorder="1" applyAlignment="1">
      <alignment horizontal="center" vertical="center"/>
    </xf>
    <xf numFmtId="0" fontId="67" fillId="22" borderId="13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4" fillId="22" borderId="65" xfId="0" applyFont="1" applyFill="1" applyBorder="1" applyAlignment="1">
      <alignment horizontal="center" vertical="center"/>
    </xf>
    <xf numFmtId="0" fontId="64" fillId="22" borderId="64" xfId="0" applyFont="1" applyFill="1" applyBorder="1" applyAlignment="1">
      <alignment horizontal="center" vertical="center"/>
    </xf>
    <xf numFmtId="0" fontId="57" fillId="22" borderId="119" xfId="0" applyFont="1" applyFill="1" applyBorder="1"/>
    <xf numFmtId="0" fontId="57" fillId="22" borderId="60" xfId="0" applyFont="1" applyFill="1" applyBorder="1"/>
    <xf numFmtId="0" fontId="57" fillId="22" borderId="22" xfId="0" applyFont="1" applyFill="1" applyBorder="1"/>
    <xf numFmtId="0" fontId="57" fillId="22" borderId="113" xfId="0" applyFont="1" applyFill="1" applyBorder="1"/>
    <xf numFmtId="0" fontId="57" fillId="22" borderId="86" xfId="0" applyFont="1" applyFill="1" applyBorder="1"/>
    <xf numFmtId="0" fontId="57" fillId="22" borderId="116" xfId="0" applyFont="1" applyFill="1" applyBorder="1"/>
    <xf numFmtId="0" fontId="57" fillId="22" borderId="115" xfId="0" applyFont="1" applyFill="1" applyBorder="1"/>
    <xf numFmtId="4" fontId="66" fillId="24" borderId="51" xfId="2" applyNumberFormat="1" applyFont="1" applyFill="1" applyBorder="1" applyAlignment="1">
      <alignment horizontal="right" vertical="top" wrapText="1"/>
    </xf>
    <xf numFmtId="4" fontId="66" fillId="24" borderId="42" xfId="2" applyNumberFormat="1" applyFont="1" applyFill="1" applyBorder="1" applyAlignment="1">
      <alignment horizontal="right" vertical="top" wrapText="1"/>
    </xf>
    <xf numFmtId="4" fontId="66" fillId="24" borderId="52" xfId="2" applyNumberFormat="1" applyFont="1" applyFill="1" applyBorder="1" applyAlignment="1">
      <alignment horizontal="right" vertical="top" wrapText="1"/>
    </xf>
    <xf numFmtId="4" fontId="66" fillId="24" borderId="106" xfId="2" applyNumberFormat="1" applyFont="1" applyFill="1" applyBorder="1" applyAlignment="1">
      <alignment horizontal="right" vertical="top" wrapText="1"/>
    </xf>
    <xf numFmtId="4" fontId="66" fillId="24" borderId="95" xfId="2" applyNumberFormat="1" applyFont="1" applyFill="1" applyBorder="1" applyAlignment="1">
      <alignment horizontal="right" vertical="top" wrapText="1"/>
    </xf>
    <xf numFmtId="4" fontId="66" fillId="24" borderId="109" xfId="2" applyNumberFormat="1" applyFont="1" applyFill="1" applyBorder="1" applyAlignment="1">
      <alignment horizontal="right" vertical="top" wrapText="1"/>
    </xf>
    <xf numFmtId="4" fontId="66" fillId="24" borderId="107" xfId="2" applyNumberFormat="1" applyFont="1" applyFill="1" applyBorder="1" applyAlignment="1">
      <alignment horizontal="right" vertical="top" wrapText="1"/>
    </xf>
    <xf numFmtId="4" fontId="66" fillId="24" borderId="46" xfId="2" applyNumberFormat="1" applyFont="1" applyFill="1" applyBorder="1" applyAlignment="1">
      <alignment horizontal="right" vertical="top" wrapText="1"/>
    </xf>
    <xf numFmtId="4" fontId="66" fillId="24" borderId="45" xfId="2" applyNumberFormat="1" applyFont="1" applyFill="1" applyBorder="1" applyAlignment="1">
      <alignment horizontal="right" vertical="top" wrapText="1"/>
    </xf>
    <xf numFmtId="4" fontId="65" fillId="24" borderId="26" xfId="1" applyNumberFormat="1" applyFont="1" applyFill="1" applyBorder="1" applyAlignment="1">
      <alignment horizontal="right" vertical="top" wrapText="1"/>
    </xf>
    <xf numFmtId="4" fontId="66" fillId="24" borderId="44" xfId="2" applyNumberFormat="1" applyFont="1" applyFill="1" applyBorder="1" applyAlignment="1">
      <alignment horizontal="right" vertical="top" wrapText="1"/>
    </xf>
    <xf numFmtId="4" fontId="66" fillId="24" borderId="108" xfId="2" applyNumberFormat="1" applyFont="1" applyFill="1" applyBorder="1" applyAlignment="1">
      <alignment horizontal="right" vertical="top" wrapText="1"/>
    </xf>
    <xf numFmtId="4" fontId="66" fillId="24" borderId="43" xfId="2" applyNumberFormat="1" applyFont="1" applyFill="1" applyBorder="1" applyAlignment="1">
      <alignment horizontal="right" vertical="top" wrapText="1"/>
    </xf>
    <xf numFmtId="0" fontId="66" fillId="24" borderId="70" xfId="0" applyFont="1" applyFill="1" applyBorder="1" applyAlignment="1">
      <alignment horizontal="left" vertical="top" wrapText="1"/>
    </xf>
    <xf numFmtId="165" fontId="66" fillId="24" borderId="110" xfId="5" applyNumberFormat="1" applyFont="1" applyFill="1" applyBorder="1" applyAlignment="1">
      <alignment horizontal="right" vertical="top" wrapText="1"/>
    </xf>
    <xf numFmtId="165" fontId="66" fillId="24" borderId="111" xfId="5" applyNumberFormat="1" applyFont="1" applyFill="1" applyBorder="1" applyAlignment="1">
      <alignment horizontal="right" vertical="top" wrapText="1"/>
    </xf>
    <xf numFmtId="165" fontId="66" fillId="24" borderId="112" xfId="5" applyNumberFormat="1" applyFont="1" applyFill="1" applyBorder="1" applyAlignment="1">
      <alignment horizontal="right" vertical="top" wrapText="1"/>
    </xf>
    <xf numFmtId="165" fontId="66" fillId="24" borderId="47" xfId="5" applyNumberFormat="1" applyFont="1" applyFill="1" applyBorder="1" applyAlignment="1">
      <alignment horizontal="right" vertical="top" wrapText="1"/>
    </xf>
    <xf numFmtId="165" fontId="66" fillId="24" borderId="48" xfId="5" applyNumberFormat="1" applyFont="1" applyFill="1" applyBorder="1" applyAlignment="1">
      <alignment horizontal="right" vertical="top" wrapText="1"/>
    </xf>
    <xf numFmtId="165" fontId="66" fillId="24" borderId="49" xfId="5" applyNumberFormat="1" applyFont="1" applyFill="1" applyBorder="1" applyAlignment="1">
      <alignment horizontal="right" vertical="top" wrapText="1"/>
    </xf>
    <xf numFmtId="0" fontId="40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7" fillId="13" borderId="5" xfId="0" applyFont="1" applyFill="1" applyBorder="1" applyAlignment="1">
      <alignment horizontal="center" vertical="center"/>
    </xf>
    <xf numFmtId="0" fontId="42" fillId="17" borderId="168" xfId="0" applyFont="1" applyFill="1" applyBorder="1" applyAlignment="1">
      <alignment horizontal="center" vertical="center"/>
    </xf>
    <xf numFmtId="0" fontId="42" fillId="17" borderId="169" xfId="0" applyFont="1" applyFill="1" applyBorder="1" applyAlignment="1">
      <alignment horizontal="center" vertical="center"/>
    </xf>
    <xf numFmtId="0" fontId="42" fillId="17" borderId="170" xfId="0" applyFont="1" applyFill="1" applyBorder="1" applyAlignment="1">
      <alignment horizontal="center" vertical="center"/>
    </xf>
    <xf numFmtId="0" fontId="42" fillId="17" borderId="171" xfId="0" applyFont="1" applyFill="1" applyBorder="1" applyAlignment="1">
      <alignment horizontal="center" vertical="center"/>
    </xf>
    <xf numFmtId="0" fontId="42" fillId="17" borderId="172" xfId="0" applyFont="1" applyFill="1" applyBorder="1" applyAlignment="1">
      <alignment horizontal="center" vertical="center"/>
    </xf>
    <xf numFmtId="0" fontId="42" fillId="17" borderId="173" xfId="0" applyFont="1" applyFill="1" applyBorder="1" applyAlignment="1">
      <alignment horizontal="center" vertical="center"/>
    </xf>
    <xf numFmtId="0" fontId="42" fillId="17" borderId="174" xfId="0" applyFont="1" applyFill="1" applyBorder="1" applyAlignment="1">
      <alignment horizontal="center" vertical="center"/>
    </xf>
    <xf numFmtId="0" fontId="42" fillId="17" borderId="175" xfId="0" applyFont="1" applyFill="1" applyBorder="1" applyAlignment="1">
      <alignment horizontal="center" vertical="center"/>
    </xf>
    <xf numFmtId="0" fontId="42" fillId="17" borderId="176" xfId="0" applyFont="1" applyFill="1" applyBorder="1" applyAlignment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5" fontId="63" fillId="0" borderId="122" xfId="5" applyNumberFormat="1" applyFont="1" applyFill="1" applyBorder="1" applyProtection="1"/>
    <xf numFmtId="165" fontId="63" fillId="0" borderId="18" xfId="5" applyNumberFormat="1" applyFont="1" applyFill="1" applyBorder="1" applyProtection="1"/>
    <xf numFmtId="165" fontId="57" fillId="22" borderId="22" xfId="5" applyNumberFormat="1" applyFont="1" applyFill="1" applyBorder="1" applyAlignment="1" applyProtection="1">
      <alignment horizontal="center"/>
    </xf>
    <xf numFmtId="165" fontId="63" fillId="21" borderId="86" xfId="5" applyNumberFormat="1" applyFont="1" applyFill="1" applyBorder="1" applyAlignment="1" applyProtection="1">
      <alignment horizontal="center"/>
    </xf>
    <xf numFmtId="165" fontId="62" fillId="19" borderId="22" xfId="5" applyNumberFormat="1" applyFont="1" applyFill="1" applyBorder="1" applyAlignment="1" applyProtection="1">
      <alignment horizontal="center"/>
    </xf>
    <xf numFmtId="165" fontId="63" fillId="22" borderId="22" xfId="5" applyNumberFormat="1" applyFont="1" applyFill="1" applyBorder="1" applyProtection="1"/>
    <xf numFmtId="165" fontId="63" fillId="22" borderId="125" xfId="5" applyNumberFormat="1" applyFont="1" applyFill="1" applyBorder="1" applyProtection="1"/>
    <xf numFmtId="165" fontId="33" fillId="0" borderId="18" xfId="5" applyNumberFormat="1" applyFont="1" applyFill="1" applyBorder="1" applyProtection="1"/>
    <xf numFmtId="165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69" fillId="0" borderId="69" xfId="0" applyFont="1" applyBorder="1" applyAlignment="1">
      <alignment horizontal="center" vertical="center" wrapText="1"/>
    </xf>
    <xf numFmtId="0" fontId="72" fillId="0" borderId="0" xfId="0" applyFont="1"/>
    <xf numFmtId="0" fontId="69" fillId="9" borderId="69" xfId="0" applyFont="1" applyFill="1" applyBorder="1" applyAlignment="1">
      <alignment horizontal="center" vertical="center" textRotation="90" wrapText="1"/>
    </xf>
    <xf numFmtId="0" fontId="70" fillId="0" borderId="149" xfId="0" applyFont="1" applyBorder="1" applyAlignment="1">
      <alignment horizontal="center" vertical="center" textRotation="90" wrapText="1"/>
    </xf>
    <xf numFmtId="0" fontId="70" fillId="0" borderId="150" xfId="0" applyFont="1" applyBorder="1" applyAlignment="1">
      <alignment horizontal="center" vertical="center" textRotation="90" wrapText="1"/>
    </xf>
    <xf numFmtId="0" fontId="70" fillId="0" borderId="29" xfId="0" applyFont="1" applyBorder="1" applyAlignment="1">
      <alignment horizontal="center" vertical="center" textRotation="90" wrapText="1"/>
    </xf>
    <xf numFmtId="0" fontId="70" fillId="0" borderId="151" xfId="0" applyFont="1" applyBorder="1" applyAlignment="1">
      <alignment horizontal="center" vertical="center" textRotation="90" wrapText="1"/>
    </xf>
    <xf numFmtId="0" fontId="71" fillId="0" borderId="0" xfId="0" applyFont="1" applyAlignment="1">
      <alignment horizontal="center" vertical="center" textRotation="90"/>
    </xf>
    <xf numFmtId="0" fontId="0" fillId="17" borderId="147" xfId="0" applyFill="1" applyBorder="1" applyAlignment="1">
      <alignment horizontal="left" wrapText="1"/>
    </xf>
    <xf numFmtId="0" fontId="0" fillId="0" borderId="0" xfId="0" applyBorder="1" applyAlignment="1" applyProtection="1">
      <alignment horizontal="left" vertical="top" wrapText="1"/>
    </xf>
    <xf numFmtId="0" fontId="35" fillId="17" borderId="135" xfId="0" applyFont="1" applyFill="1" applyBorder="1" applyAlignment="1">
      <alignment horizontal="left" vertical="center"/>
    </xf>
    <xf numFmtId="0" fontId="74" fillId="17" borderId="135" xfId="0" applyFont="1" applyFill="1" applyBorder="1" applyAlignment="1">
      <alignment horizontal="left" vertical="center"/>
    </xf>
    <xf numFmtId="0" fontId="42" fillId="0" borderId="2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4" fontId="0" fillId="17" borderId="60" xfId="0" applyNumberFormat="1" applyFill="1" applyBorder="1"/>
    <xf numFmtId="4" fontId="0" fillId="17" borderId="22" xfId="0" applyNumberFormat="1" applyFill="1" applyBorder="1"/>
    <xf numFmtId="4" fontId="0" fillId="17" borderId="86" xfId="0" applyNumberFormat="1" applyFill="1" applyBorder="1"/>
    <xf numFmtId="4" fontId="57" fillId="22" borderId="60" xfId="0" applyNumberFormat="1" applyFont="1" applyFill="1" applyBorder="1"/>
    <xf numFmtId="4" fontId="57" fillId="22" borderId="113" xfId="0" applyNumberFormat="1" applyFont="1" applyFill="1" applyBorder="1"/>
    <xf numFmtId="4" fontId="57" fillId="22" borderId="116" xfId="0" applyNumberFormat="1" applyFont="1" applyFill="1" applyBorder="1"/>
    <xf numFmtId="0" fontId="8" fillId="0" borderId="125" xfId="0" applyNumberFormat="1" applyFont="1" applyBorder="1" applyAlignment="1" applyProtection="1">
      <alignment horizontal="center" vertical="center" wrapText="1"/>
    </xf>
    <xf numFmtId="44" fontId="39" fillId="17" borderId="167" xfId="7" applyFont="1" applyFill="1" applyBorder="1" applyAlignment="1">
      <alignment horizontal="left" vertical="center" wrapText="1"/>
    </xf>
    <xf numFmtId="44" fontId="39" fillId="17" borderId="164" xfId="7" applyFont="1" applyFill="1" applyBorder="1" applyAlignment="1">
      <alignment horizontal="left" vertical="center" wrapText="1"/>
    </xf>
    <xf numFmtId="169" fontId="0" fillId="17" borderId="113" xfId="0" applyNumberFormat="1" applyFill="1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7" xfId="0" applyFont="1" applyFill="1" applyBorder="1" applyAlignment="1">
      <alignment horizontal="center" vertical="top" wrapText="1"/>
    </xf>
    <xf numFmtId="0" fontId="9" fillId="6" borderId="178" xfId="0" applyFont="1" applyFill="1" applyBorder="1" applyAlignment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7" borderId="19" xfId="0" applyFill="1" applyBorder="1" applyAlignment="1">
      <alignment horizontal="center" vertical="top" wrapText="1"/>
    </xf>
    <xf numFmtId="0" fontId="0" fillId="17" borderId="0" xfId="0" applyFill="1" applyAlignment="1">
      <alignment horizontal="center" vertical="top" wrapText="1"/>
    </xf>
    <xf numFmtId="0" fontId="0" fillId="17" borderId="6" xfId="0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20" xfId="0" applyFill="1" applyBorder="1" applyAlignment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7" borderId="24" xfId="0" applyFill="1" applyBorder="1" applyAlignment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6" fontId="50" fillId="3" borderId="8" xfId="4" applyNumberFormat="1" applyFont="1" applyFill="1" applyBorder="1" applyAlignment="1">
      <alignment horizontal="right" vertical="top" wrapText="1"/>
    </xf>
    <xf numFmtId="166" fontId="50" fillId="3" borderId="9" xfId="4" applyNumberFormat="1" applyFont="1" applyFill="1" applyBorder="1" applyAlignment="1">
      <alignment horizontal="right" vertical="top" wrapText="1"/>
    </xf>
    <xf numFmtId="166" fontId="50" fillId="3" borderId="8" xfId="4" applyNumberFormat="1" applyFont="1" applyFill="1" applyBorder="1" applyAlignment="1">
      <alignment vertical="top" wrapText="1"/>
    </xf>
    <xf numFmtId="166" fontId="50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0" fillId="3" borderId="8" xfId="4" applyNumberFormat="1" applyFont="1" applyFill="1" applyBorder="1" applyAlignment="1">
      <alignment vertical="top" wrapText="1"/>
    </xf>
    <xf numFmtId="2" fontId="50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4" fillId="22" borderId="14" xfId="0" applyFont="1" applyFill="1" applyBorder="1" applyAlignment="1">
      <alignment horizontal="center"/>
    </xf>
    <xf numFmtId="0" fontId="64" fillId="22" borderId="23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18" Type="http://schemas.openxmlformats.org/officeDocument/2006/relationships/image" Target="../media/image18.svg"/><Relationship Id="rId26" Type="http://schemas.openxmlformats.org/officeDocument/2006/relationships/image" Target="../media/image26.svg"/><Relationship Id="rId39" Type="http://schemas.openxmlformats.org/officeDocument/2006/relationships/image" Target="../media/image39.sv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svg"/><Relationship Id="rId38" Type="http://schemas.openxmlformats.org/officeDocument/2006/relationships/image" Target="../media/image38.pn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20" Type="http://schemas.openxmlformats.org/officeDocument/2006/relationships/image" Target="../media/image20.sv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4.svg"/><Relationship Id="rId32" Type="http://schemas.openxmlformats.org/officeDocument/2006/relationships/image" Target="../media/image32.png"/><Relationship Id="rId37" Type="http://schemas.openxmlformats.org/officeDocument/2006/relationships/image" Target="../media/image37.sv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svg"/><Relationship Id="rId36" Type="http://schemas.openxmlformats.org/officeDocument/2006/relationships/image" Target="../media/image36.pn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31" Type="http://schemas.openxmlformats.org/officeDocument/2006/relationships/image" Target="../media/image31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Relationship Id="rId22" Type="http://schemas.openxmlformats.org/officeDocument/2006/relationships/image" Target="../media/image22.sv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3</xdr:row>
      <xdr:rowOff>71120</xdr:rowOff>
    </xdr:from>
    <xdr:to>
      <xdr:col>30</xdr:col>
      <xdr:colOff>101600</xdr:colOff>
      <xdr:row>20</xdr:row>
      <xdr:rowOff>157870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EDD99-0061-7D49-B276-3DAC8970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60000" y="650240"/>
          <a:ext cx="10058400" cy="3368430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121977</xdr:colOff>
      <xdr:row>21</xdr:row>
      <xdr:rowOff>71751</xdr:rowOff>
    </xdr:from>
    <xdr:to>
      <xdr:col>30</xdr:col>
      <xdr:colOff>63428</xdr:colOff>
      <xdr:row>36</xdr:row>
      <xdr:rowOff>191153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1ED335-4F1F-EC40-BC2F-AE0ECADE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238926" y="4140056"/>
          <a:ext cx="10058400" cy="3025334"/>
        </a:xfrm>
        <a:prstGeom prst="rect">
          <a:avLst/>
        </a:prstGeom>
      </xdr:spPr>
    </xdr:pic>
    <xdr:clientData/>
  </xdr:twoCellAnchor>
  <xdr:twoCellAnchor editAs="oneCell">
    <xdr:from>
      <xdr:col>15</xdr:col>
      <xdr:colOff>102775</xdr:colOff>
      <xdr:row>37</xdr:row>
      <xdr:rowOff>44046</xdr:rowOff>
    </xdr:from>
    <xdr:to>
      <xdr:col>27</xdr:col>
      <xdr:colOff>75466</xdr:colOff>
      <xdr:row>53</xdr:row>
      <xdr:rowOff>25473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C1D28C62-6EB8-1142-AEA2-78CDD3EF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233411" y="7106127"/>
          <a:ext cx="8077200" cy="3035300"/>
        </a:xfrm>
        <a:prstGeom prst="rect">
          <a:avLst/>
        </a:prstGeom>
      </xdr:spPr>
    </xdr:pic>
    <xdr:clientData/>
  </xdr:twoCellAnchor>
  <xdr:twoCellAnchor editAs="oneCell">
    <xdr:from>
      <xdr:col>15</xdr:col>
      <xdr:colOff>73411</xdr:colOff>
      <xdr:row>95</xdr:row>
      <xdr:rowOff>146821</xdr:rowOff>
    </xdr:from>
    <xdr:to>
      <xdr:col>30</xdr:col>
      <xdr:colOff>1175</xdr:colOff>
      <xdr:row>124</xdr:row>
      <xdr:rowOff>104618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8948F4BC-D2E8-B542-869F-F28EB6D1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4047" y="18279191"/>
          <a:ext cx="10058400" cy="5492941"/>
        </a:xfrm>
        <a:prstGeom prst="rect">
          <a:avLst/>
        </a:prstGeom>
      </xdr:spPr>
    </xdr:pic>
    <xdr:clientData/>
  </xdr:twoCellAnchor>
  <xdr:twoCellAnchor editAs="oneCell">
    <xdr:from>
      <xdr:col>15</xdr:col>
      <xdr:colOff>81280</xdr:colOff>
      <xdr:row>124</xdr:row>
      <xdr:rowOff>182880</xdr:rowOff>
    </xdr:from>
    <xdr:to>
      <xdr:col>30</xdr:col>
      <xdr:colOff>81280</xdr:colOff>
      <xdr:row>141</xdr:row>
      <xdr:rowOff>34407</xdr:rowOff>
    </xdr:to>
    <xdr:pic>
      <xdr:nvPicPr>
        <xdr:cNvPr id="13" name="Graphic 12">
          <a:extLst>
            <a:ext uri="{FF2B5EF4-FFF2-40B4-BE49-F238E27FC236}">
              <a16:creationId xmlns:a16="http://schemas.microsoft.com/office/drawing/2014/main" id="{1A6B684A-E555-6D44-AA9B-81651D32E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0139680" y="24119840"/>
          <a:ext cx="10058400" cy="3133207"/>
        </a:xfrm>
        <a:prstGeom prst="rect">
          <a:avLst/>
        </a:prstGeom>
      </xdr:spPr>
    </xdr:pic>
    <xdr:clientData/>
  </xdr:twoCellAnchor>
  <xdr:twoCellAnchor editAs="oneCell">
    <xdr:from>
      <xdr:col>15</xdr:col>
      <xdr:colOff>75595</xdr:colOff>
      <xdr:row>141</xdr:row>
      <xdr:rowOff>90716</xdr:rowOff>
    </xdr:from>
    <xdr:to>
      <xdr:col>30</xdr:col>
      <xdr:colOff>42030</xdr:colOff>
      <xdr:row>165</xdr:row>
      <xdr:rowOff>38173</xdr:rowOff>
    </xdr:to>
    <xdr:pic>
      <xdr:nvPicPr>
        <xdr:cNvPr id="14" name="Graphic 13">
          <a:extLst>
            <a:ext uri="{FF2B5EF4-FFF2-40B4-BE49-F238E27FC236}">
              <a16:creationId xmlns:a16="http://schemas.microsoft.com/office/drawing/2014/main" id="{6F4B4150-BD09-FF47-ACE9-C1F8E431C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0167559" y="26738037"/>
          <a:ext cx="10058400" cy="4483172"/>
        </a:xfrm>
        <a:prstGeom prst="rect">
          <a:avLst/>
        </a:prstGeom>
      </xdr:spPr>
    </xdr:pic>
    <xdr:clientData/>
  </xdr:twoCellAnchor>
  <xdr:twoCellAnchor editAs="oneCell">
    <xdr:from>
      <xdr:col>15</xdr:col>
      <xdr:colOff>82550</xdr:colOff>
      <xdr:row>165</xdr:row>
      <xdr:rowOff>95250</xdr:rowOff>
    </xdr:from>
    <xdr:to>
      <xdr:col>30</xdr:col>
      <xdr:colOff>44450</xdr:colOff>
      <xdr:row>191</xdr:row>
      <xdr:rowOff>115257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BA1C2DD1-E411-9A45-A647-F46EE2CC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0179050" y="31527750"/>
          <a:ext cx="10058400" cy="4973007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191</xdr:row>
      <xdr:rowOff>171450</xdr:rowOff>
    </xdr:from>
    <xdr:to>
      <xdr:col>30</xdr:col>
      <xdr:colOff>38100</xdr:colOff>
      <xdr:row>231</xdr:row>
      <xdr:rowOff>179256</xdr:rowOff>
    </xdr:to>
    <xdr:pic>
      <xdr:nvPicPr>
        <xdr:cNvPr id="16" name="Graphic 15">
          <a:extLst>
            <a:ext uri="{FF2B5EF4-FFF2-40B4-BE49-F238E27FC236}">
              <a16:creationId xmlns:a16="http://schemas.microsoft.com/office/drawing/2014/main" id="{D2F8E04B-5A8C-9F4A-B1E5-A271526E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0172700" y="36556950"/>
          <a:ext cx="10058400" cy="7627806"/>
        </a:xfrm>
        <a:prstGeom prst="rect">
          <a:avLst/>
        </a:prstGeom>
      </xdr:spPr>
    </xdr:pic>
    <xdr:clientData/>
  </xdr:twoCellAnchor>
  <xdr:twoCellAnchor editAs="oneCell">
    <xdr:from>
      <xdr:col>15</xdr:col>
      <xdr:colOff>82550</xdr:colOff>
      <xdr:row>232</xdr:row>
      <xdr:rowOff>25400</xdr:rowOff>
    </xdr:from>
    <xdr:to>
      <xdr:col>30</xdr:col>
      <xdr:colOff>44450</xdr:colOff>
      <xdr:row>249</xdr:row>
      <xdr:rowOff>111990</xdr:rowOff>
    </xdr:to>
    <xdr:pic>
      <xdr:nvPicPr>
        <xdr:cNvPr id="17" name="Graphic 16">
          <a:extLst>
            <a:ext uri="{FF2B5EF4-FFF2-40B4-BE49-F238E27FC236}">
              <a16:creationId xmlns:a16="http://schemas.microsoft.com/office/drawing/2014/main" id="{8B3B0A4D-0C72-5C42-A07B-3B4CCA2C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10179050" y="44221400"/>
          <a:ext cx="10058400" cy="3325090"/>
        </a:xfrm>
        <a:prstGeom prst="rect">
          <a:avLst/>
        </a:prstGeom>
      </xdr:spPr>
    </xdr:pic>
    <xdr:clientData/>
  </xdr:twoCellAnchor>
  <xdr:twoCellAnchor editAs="oneCell">
    <xdr:from>
      <xdr:col>15</xdr:col>
      <xdr:colOff>120650</xdr:colOff>
      <xdr:row>249</xdr:row>
      <xdr:rowOff>171450</xdr:rowOff>
    </xdr:from>
    <xdr:to>
      <xdr:col>30</xdr:col>
      <xdr:colOff>82550</xdr:colOff>
      <xdr:row>268</xdr:row>
      <xdr:rowOff>183437</xdr:rowOff>
    </xdr:to>
    <xdr:pic>
      <xdr:nvPicPr>
        <xdr:cNvPr id="18" name="Graphic 17">
          <a:extLst>
            <a:ext uri="{FF2B5EF4-FFF2-40B4-BE49-F238E27FC236}">
              <a16:creationId xmlns:a16="http://schemas.microsoft.com/office/drawing/2014/main" id="{02E6CF84-BF19-B148-8370-DBE25AB51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0217150" y="47605950"/>
          <a:ext cx="10058400" cy="3631487"/>
        </a:xfrm>
        <a:prstGeom prst="rect">
          <a:avLst/>
        </a:prstGeom>
      </xdr:spPr>
    </xdr:pic>
    <xdr:clientData/>
  </xdr:twoCellAnchor>
  <xdr:twoCellAnchor editAs="oneCell">
    <xdr:from>
      <xdr:col>15</xdr:col>
      <xdr:colOff>69696</xdr:colOff>
      <xdr:row>53</xdr:row>
      <xdr:rowOff>116159</xdr:rowOff>
    </xdr:from>
    <xdr:to>
      <xdr:col>26</xdr:col>
      <xdr:colOff>431182</xdr:colOff>
      <xdr:row>95</xdr:row>
      <xdr:rowOff>29355</xdr:rowOff>
    </xdr:to>
    <xdr:pic>
      <xdr:nvPicPr>
        <xdr:cNvPr id="20" name="Graphic 19">
          <a:extLst>
            <a:ext uri="{FF2B5EF4-FFF2-40B4-BE49-F238E27FC236}">
              <a16:creationId xmlns:a16="http://schemas.microsoft.com/office/drawing/2014/main" id="{43718D12-C397-E740-AD44-D09FA526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0175489" y="10376830"/>
          <a:ext cx="7772400" cy="80442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148056</xdr:rowOff>
    </xdr:from>
    <xdr:to>
      <xdr:col>14</xdr:col>
      <xdr:colOff>635000</xdr:colOff>
      <xdr:row>124</xdr:row>
      <xdr:rowOff>116497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CF9E01E-66D8-1C45-BC82-E911D7384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0" y="18245556"/>
          <a:ext cx="10039684" cy="5492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92927</xdr:rowOff>
    </xdr:from>
    <xdr:to>
      <xdr:col>14</xdr:col>
      <xdr:colOff>662465</xdr:colOff>
      <xdr:row>164</xdr:row>
      <xdr:rowOff>182725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721B6BA-C732-F044-8924-25CE1054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0" y="27026220"/>
          <a:ext cx="10058400" cy="448317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21</xdr:row>
      <xdr:rowOff>74743</xdr:rowOff>
    </xdr:from>
    <xdr:to>
      <xdr:col>14</xdr:col>
      <xdr:colOff>524933</xdr:colOff>
      <xdr:row>37</xdr:row>
      <xdr:rowOff>28133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9BB504A-184C-674F-AAA0-3A2DDBE21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254000" y="3986343"/>
          <a:ext cx="9753600" cy="2933657"/>
        </a:xfrm>
        <a:prstGeom prst="rect">
          <a:avLst/>
        </a:prstGeom>
      </xdr:spPr>
    </xdr:pic>
    <xdr:clientData/>
  </xdr:twoCellAnchor>
  <xdr:twoCellAnchor editAs="oneCell">
    <xdr:from>
      <xdr:col>2</xdr:col>
      <xdr:colOff>500459</xdr:colOff>
      <xdr:row>53</xdr:row>
      <xdr:rowOff>122245</xdr:rowOff>
    </xdr:from>
    <xdr:to>
      <xdr:col>14</xdr:col>
      <xdr:colOff>44115</xdr:colOff>
      <xdr:row>95</xdr:row>
      <xdr:rowOff>15302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E29934-0274-3242-9E6E-CAF54333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46965" y="9853811"/>
          <a:ext cx="7622692" cy="76048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160131</xdr:rowOff>
    </xdr:from>
    <xdr:to>
      <xdr:col>14</xdr:col>
      <xdr:colOff>627269</xdr:colOff>
      <xdr:row>141</xdr:row>
      <xdr:rowOff>40113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C5942434-058A-5D48-BE3D-F093D452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96DAC541-7B7A-43D3-8B79-37D633B846F1}">
              <asvg:svgBlip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0" y="23782131"/>
          <a:ext cx="10050669" cy="3118482"/>
        </a:xfrm>
        <a:prstGeom prst="rect">
          <a:avLst/>
        </a:prstGeom>
      </xdr:spPr>
    </xdr:pic>
    <xdr:clientData/>
  </xdr:twoCellAnchor>
  <xdr:twoCellAnchor editAs="oneCell">
    <xdr:from>
      <xdr:col>0</xdr:col>
      <xdr:colOff>71521</xdr:colOff>
      <xdr:row>165</xdr:row>
      <xdr:rowOff>99310</xdr:rowOff>
    </xdr:from>
    <xdr:to>
      <xdr:col>15</xdr:col>
      <xdr:colOff>12701</xdr:colOff>
      <xdr:row>191</xdr:row>
      <xdr:rowOff>114300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97363713-C63A-1545-94B0-30D153B7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96DAC541-7B7A-43D3-8B79-37D633B846F1}">
              <asvg:svgBlip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71521" y="31531810"/>
          <a:ext cx="10037680" cy="4967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46748</xdr:rowOff>
    </xdr:from>
    <xdr:to>
      <xdr:col>15</xdr:col>
      <xdr:colOff>7480</xdr:colOff>
      <xdr:row>232</xdr:row>
      <xdr:rowOff>7806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43E9859F-375A-F34A-BA8B-4CD75756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96DAC541-7B7A-43D3-8B79-37D633B846F1}">
              <asvg:svgBlip xmlns:asvg="http://schemas.microsoft.com/office/drawing/2016/SVG/main" r:embed="rId35"/>
            </a:ext>
          </a:extLst>
        </a:blip>
        <a:stretch>
          <a:fillRect/>
        </a:stretch>
      </xdr:blipFill>
      <xdr:spPr>
        <a:xfrm>
          <a:off x="0" y="35983044"/>
          <a:ext cx="10120443" cy="7675132"/>
        </a:xfrm>
        <a:prstGeom prst="rect">
          <a:avLst/>
        </a:prstGeom>
      </xdr:spPr>
    </xdr:pic>
    <xdr:clientData/>
  </xdr:twoCellAnchor>
  <xdr:twoCellAnchor editAs="oneCell">
    <xdr:from>
      <xdr:col>0</xdr:col>
      <xdr:colOff>20828</xdr:colOff>
      <xdr:row>249</xdr:row>
      <xdr:rowOff>165639</xdr:rowOff>
    </xdr:from>
    <xdr:to>
      <xdr:col>14</xdr:col>
      <xdr:colOff>624629</xdr:colOff>
      <xdr:row>269</xdr:row>
      <xdr:rowOff>16921</xdr:rowOff>
    </xdr:to>
    <xdr:pic>
      <xdr:nvPicPr>
        <xdr:cNvPr id="19" name="Graphic 18">
          <a:extLst>
            <a:ext uri="{FF2B5EF4-FFF2-40B4-BE49-F238E27FC236}">
              <a16:creationId xmlns:a16="http://schemas.microsoft.com/office/drawing/2014/main" id="{4F5CBA2D-C865-FB4C-9300-F350FF0B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96DAC541-7B7A-43D3-8B79-37D633B846F1}">
              <asvg:svgBlip xmlns:asvg="http://schemas.microsoft.com/office/drawing/2016/SVG/main" r:embed="rId37"/>
            </a:ext>
          </a:extLst>
        </a:blip>
        <a:stretch>
          <a:fillRect/>
        </a:stretch>
      </xdr:blipFill>
      <xdr:spPr>
        <a:xfrm>
          <a:off x="20828" y="47998748"/>
          <a:ext cx="10016742" cy="3693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45811</xdr:rowOff>
    </xdr:from>
    <xdr:to>
      <xdr:col>14</xdr:col>
      <xdr:colOff>611187</xdr:colOff>
      <xdr:row>249</xdr:row>
      <xdr:rowOff>91579</xdr:rowOff>
    </xdr:to>
    <xdr:pic>
      <xdr:nvPicPr>
        <xdr:cNvPr id="21" name="Graphic 20">
          <a:extLst>
            <a:ext uri="{FF2B5EF4-FFF2-40B4-BE49-F238E27FC236}">
              <a16:creationId xmlns:a16="http://schemas.microsoft.com/office/drawing/2014/main" id="{D172A21C-95D1-DE44-8B9A-799D6C72C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96DAC541-7B7A-43D3-8B79-37D633B846F1}">
              <asvg:svgBlip xmlns:asvg="http://schemas.microsoft.com/office/drawing/2016/SVG/main" r:embed="rId39"/>
            </a:ext>
          </a:extLst>
        </a:blip>
        <a:stretch>
          <a:fillRect/>
        </a:stretch>
      </xdr:blipFill>
      <xdr:spPr>
        <a:xfrm>
          <a:off x="0" y="44241811"/>
          <a:ext cx="10034587" cy="328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tabSelected="1" view="pageBreakPreview" topLeftCell="A9" zoomScaleNormal="100" zoomScaleSheetLayoutView="100" workbookViewId="0">
      <selection activeCell="Q20" sqref="Q20"/>
    </sheetView>
  </sheetViews>
  <sheetFormatPr defaultColWidth="8.85546875" defaultRowHeight="15" x14ac:dyDescent="0.25"/>
  <cols>
    <col min="2" max="2" width="11.7109375" customWidth="1"/>
    <col min="4" max="4" width="6.42578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18" x14ac:dyDescent="0.25">
      <c r="A1" s="37"/>
      <c r="B1" s="37"/>
      <c r="C1" s="37"/>
      <c r="D1" s="37"/>
      <c r="E1" s="37"/>
      <c r="F1" s="37"/>
      <c r="G1" s="37"/>
      <c r="H1" s="37"/>
      <c r="I1" s="37"/>
      <c r="J1" s="357"/>
      <c r="K1" s="358"/>
      <c r="L1" s="358"/>
      <c r="M1" s="358"/>
      <c r="N1" s="358"/>
      <c r="O1" s="358"/>
      <c r="P1" s="358"/>
      <c r="Q1" s="358"/>
      <c r="R1" s="358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58"/>
      <c r="K3" s="358"/>
      <c r="L3" s="358"/>
      <c r="M3" s="358"/>
      <c r="N3" s="358"/>
      <c r="O3" s="358"/>
      <c r="P3" s="358"/>
      <c r="Q3" s="358"/>
      <c r="R3" s="358"/>
    </row>
    <row r="4" spans="1:18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58"/>
      <c r="K4" s="358"/>
      <c r="L4" s="358"/>
      <c r="M4" s="358"/>
      <c r="N4" s="358"/>
      <c r="O4" s="358"/>
      <c r="P4" s="358"/>
      <c r="Q4" s="358"/>
      <c r="R4" s="358"/>
    </row>
    <row r="5" spans="1:18" x14ac:dyDescent="0.25">
      <c r="A5" s="37"/>
      <c r="B5" s="37"/>
      <c r="C5" s="37"/>
      <c r="D5" s="37"/>
      <c r="E5" s="37"/>
      <c r="F5" s="37"/>
      <c r="G5" s="37"/>
      <c r="H5" s="37"/>
      <c r="I5" s="37"/>
      <c r="J5" s="358"/>
      <c r="K5" s="358"/>
      <c r="L5" s="358"/>
      <c r="M5" s="358"/>
      <c r="N5" s="358"/>
      <c r="O5" s="358"/>
      <c r="P5" s="358"/>
      <c r="Q5" s="358"/>
      <c r="R5" s="358"/>
    </row>
    <row r="6" spans="1:18" ht="62.1" customHeight="1" x14ac:dyDescent="0.5">
      <c r="A6" s="682" t="s">
        <v>115</v>
      </c>
      <c r="B6" s="682"/>
      <c r="C6" s="682"/>
      <c r="D6" s="682"/>
      <c r="E6" s="682"/>
      <c r="F6" s="682"/>
      <c r="G6" s="682"/>
      <c r="H6" s="682"/>
      <c r="I6" s="682"/>
      <c r="J6" s="358"/>
      <c r="K6" s="358"/>
      <c r="L6" s="358"/>
      <c r="M6" s="358"/>
      <c r="N6" s="358"/>
      <c r="O6" s="358"/>
      <c r="P6" s="358"/>
      <c r="Q6" s="358"/>
      <c r="R6" s="358"/>
    </row>
    <row r="7" spans="1:18" ht="18.75" customHeight="1" x14ac:dyDescent="0.3">
      <c r="A7" s="663" t="s">
        <v>65</v>
      </c>
      <c r="B7" s="663"/>
      <c r="C7" s="663"/>
      <c r="D7" s="663"/>
      <c r="E7" s="663"/>
      <c r="F7" s="663"/>
      <c r="G7" s="663"/>
      <c r="H7" s="663"/>
      <c r="I7" s="663"/>
      <c r="J7" s="358"/>
      <c r="K7" s="358"/>
      <c r="L7" s="358"/>
      <c r="M7" s="358"/>
      <c r="N7" s="358"/>
      <c r="O7" s="358"/>
      <c r="P7" s="358"/>
      <c r="Q7" s="358"/>
      <c r="R7" s="358"/>
    </row>
    <row r="8" spans="1:18" x14ac:dyDescent="0.25">
      <c r="A8" s="683" t="s">
        <v>60</v>
      </c>
      <c r="B8" s="683"/>
      <c r="C8" s="683"/>
      <c r="D8" s="683"/>
      <c r="E8" s="683"/>
      <c r="F8" s="683"/>
      <c r="G8" s="683"/>
      <c r="H8" s="683"/>
      <c r="I8" s="683"/>
      <c r="J8" s="358"/>
      <c r="K8" s="358"/>
      <c r="L8" s="358"/>
      <c r="M8" s="358"/>
      <c r="N8" s="358"/>
      <c r="O8" s="358"/>
      <c r="P8" s="358"/>
      <c r="Q8" s="358"/>
      <c r="R8" s="358"/>
    </row>
    <row r="9" spans="1:18" ht="15" customHeight="1" x14ac:dyDescent="0.25">
      <c r="A9" s="683"/>
      <c r="B9" s="683"/>
      <c r="C9" s="683"/>
      <c r="D9" s="683"/>
      <c r="E9" s="683"/>
      <c r="F9" s="683"/>
      <c r="G9" s="683"/>
      <c r="H9" s="683"/>
      <c r="I9" s="683"/>
      <c r="J9" s="358"/>
      <c r="K9" s="358"/>
      <c r="L9" s="358"/>
      <c r="M9" s="358"/>
      <c r="N9" s="358"/>
      <c r="O9" s="358"/>
      <c r="P9" s="358"/>
      <c r="Q9" s="358"/>
      <c r="R9" s="358"/>
    </row>
    <row r="10" spans="1:18" ht="48.6" customHeight="1" x14ac:dyDescent="0.25">
      <c r="A10" s="683"/>
      <c r="B10" s="683"/>
      <c r="C10" s="683"/>
      <c r="D10" s="683"/>
      <c r="E10" s="683"/>
      <c r="F10" s="683"/>
      <c r="G10" s="683"/>
      <c r="H10" s="683"/>
      <c r="I10" s="683"/>
      <c r="J10" s="358"/>
      <c r="K10" s="358"/>
      <c r="L10" s="358"/>
      <c r="M10" s="358"/>
      <c r="N10" s="358"/>
      <c r="O10" s="358"/>
      <c r="P10" s="358"/>
      <c r="Q10" s="358"/>
      <c r="R10" s="358"/>
    </row>
    <row r="11" spans="1:18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58"/>
      <c r="K11" s="358"/>
      <c r="L11" s="358"/>
      <c r="M11" s="358"/>
      <c r="N11" s="358"/>
      <c r="O11" s="358"/>
      <c r="P11" s="358"/>
      <c r="Q11" s="358"/>
      <c r="R11" s="358"/>
    </row>
    <row r="12" spans="1:18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58"/>
      <c r="K12" s="358"/>
      <c r="L12" s="358"/>
      <c r="M12" s="358"/>
      <c r="N12" s="358"/>
      <c r="O12" s="358"/>
      <c r="P12" s="358"/>
      <c r="Q12" s="358"/>
      <c r="R12" s="358"/>
    </row>
    <row r="13" spans="1:18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58"/>
      <c r="K13" s="358"/>
      <c r="L13" s="358"/>
      <c r="M13" s="358"/>
      <c r="N13" s="358"/>
      <c r="O13" s="358"/>
      <c r="P13" s="358"/>
      <c r="Q13" s="358"/>
      <c r="R13" s="358"/>
    </row>
    <row r="14" spans="1:1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58"/>
      <c r="K14" s="358"/>
      <c r="L14" s="358"/>
      <c r="M14" s="358"/>
      <c r="N14" s="358"/>
      <c r="O14" s="358"/>
      <c r="P14" s="358"/>
      <c r="Q14" s="358"/>
      <c r="R14" s="358"/>
    </row>
    <row r="15" spans="1:18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58"/>
      <c r="K15" s="358"/>
      <c r="L15" s="358"/>
      <c r="M15" s="358"/>
      <c r="N15" s="358"/>
      <c r="O15" s="358"/>
      <c r="P15" s="358"/>
      <c r="Q15" s="358"/>
      <c r="R15" s="358"/>
    </row>
    <row r="16" spans="1:18" x14ac:dyDescent="0.25">
      <c r="B16" s="37"/>
      <c r="C16" s="37"/>
      <c r="D16" s="37"/>
      <c r="E16" s="37"/>
      <c r="F16" s="37"/>
      <c r="G16" s="37"/>
      <c r="H16" s="37"/>
      <c r="I16" s="37"/>
      <c r="J16" s="358"/>
      <c r="K16" s="358"/>
      <c r="L16" s="358"/>
      <c r="M16" s="358"/>
      <c r="N16" s="358"/>
      <c r="O16" s="358"/>
      <c r="P16" s="358"/>
      <c r="Q16" s="358"/>
      <c r="R16" s="358"/>
    </row>
    <row r="17" spans="1:18" x14ac:dyDescent="0.25">
      <c r="B17" s="37"/>
      <c r="C17" s="37"/>
      <c r="D17" s="37"/>
      <c r="E17" s="37"/>
      <c r="F17" s="37"/>
      <c r="G17" s="37"/>
      <c r="H17" s="37"/>
      <c r="I17" s="37"/>
      <c r="J17" s="358"/>
      <c r="K17" s="358"/>
      <c r="L17" s="358"/>
      <c r="M17" s="358"/>
      <c r="N17" s="358"/>
      <c r="O17" s="358"/>
      <c r="P17" s="358"/>
      <c r="Q17" s="358"/>
      <c r="R17" s="358"/>
    </row>
    <row r="18" spans="1:18" ht="15.75" thickBot="1" x14ac:dyDescent="0.3">
      <c r="B18" s="37"/>
      <c r="C18" s="37"/>
      <c r="D18" s="37"/>
      <c r="E18" s="37"/>
      <c r="F18" s="37"/>
      <c r="G18" s="37"/>
      <c r="H18" s="37"/>
      <c r="I18" s="37"/>
      <c r="J18" s="358"/>
      <c r="K18" s="358"/>
      <c r="L18" s="358"/>
      <c r="M18" s="358"/>
      <c r="N18" s="358"/>
      <c r="O18" s="358"/>
      <c r="P18" s="358"/>
      <c r="Q18" s="358"/>
      <c r="R18" s="358"/>
    </row>
    <row r="19" spans="1:18" ht="16.5" x14ac:dyDescent="0.25">
      <c r="A19" s="684" t="s">
        <v>116</v>
      </c>
      <c r="B19" s="685"/>
      <c r="C19" s="686" t="s">
        <v>519</v>
      </c>
      <c r="D19" s="686"/>
      <c r="E19" s="686"/>
      <c r="F19" s="686"/>
      <c r="G19" s="686"/>
      <c r="H19" s="686"/>
      <c r="I19" s="687"/>
      <c r="J19" s="358"/>
      <c r="K19" s="358"/>
      <c r="L19" s="358"/>
      <c r="M19" s="358"/>
      <c r="N19" s="358"/>
      <c r="O19" s="358"/>
      <c r="P19" s="358"/>
      <c r="Q19" s="358"/>
      <c r="R19" s="358"/>
    </row>
    <row r="20" spans="1:18" ht="16.5" x14ac:dyDescent="0.25">
      <c r="A20" s="664" t="s">
        <v>120</v>
      </c>
      <c r="B20" s="665"/>
      <c r="C20" s="680"/>
      <c r="D20" s="680"/>
      <c r="E20" s="680"/>
      <c r="F20" s="680"/>
      <c r="G20" s="680"/>
      <c r="H20" s="680"/>
      <c r="I20" s="681"/>
      <c r="J20" s="358"/>
      <c r="K20" s="358"/>
      <c r="L20" s="358"/>
      <c r="M20" s="358"/>
      <c r="N20" s="358"/>
      <c r="O20" s="358"/>
      <c r="P20" s="358"/>
      <c r="Q20" s="358"/>
      <c r="R20" s="358"/>
    </row>
    <row r="21" spans="1:18" ht="16.5" x14ac:dyDescent="0.25">
      <c r="A21" s="664" t="s">
        <v>119</v>
      </c>
      <c r="B21" s="665"/>
      <c r="C21" s="680">
        <v>540</v>
      </c>
      <c r="D21" s="680"/>
      <c r="E21" s="680"/>
      <c r="F21" s="680"/>
      <c r="G21" s="680"/>
      <c r="H21" s="680"/>
      <c r="I21" s="681"/>
      <c r="J21" s="358"/>
      <c r="K21" s="358"/>
      <c r="L21" s="358"/>
      <c r="M21" s="358"/>
      <c r="N21" s="358"/>
      <c r="O21" s="358"/>
      <c r="P21" s="358"/>
      <c r="Q21" s="358"/>
      <c r="R21" s="358"/>
    </row>
    <row r="22" spans="1:18" ht="14.45" customHeight="1" x14ac:dyDescent="0.25">
      <c r="A22" s="664" t="s">
        <v>51</v>
      </c>
      <c r="B22" s="665"/>
      <c r="C22" s="680" t="s">
        <v>514</v>
      </c>
      <c r="D22" s="680"/>
      <c r="E22" s="680"/>
      <c r="F22" s="680"/>
      <c r="G22" s="680"/>
      <c r="H22" s="680"/>
      <c r="I22" s="681"/>
      <c r="J22" s="358"/>
      <c r="K22" s="358"/>
      <c r="L22" s="358"/>
      <c r="M22" s="358"/>
      <c r="N22" s="358"/>
      <c r="O22" s="358"/>
      <c r="P22" s="358"/>
      <c r="Q22" s="358"/>
      <c r="R22" s="358"/>
    </row>
    <row r="23" spans="1:18" ht="16.5" x14ac:dyDescent="0.25">
      <c r="A23" s="664" t="s">
        <v>52</v>
      </c>
      <c r="B23" s="665"/>
      <c r="C23" s="680" t="s">
        <v>515</v>
      </c>
      <c r="D23" s="680"/>
      <c r="E23" s="680"/>
      <c r="F23" s="680"/>
      <c r="G23" s="680"/>
      <c r="H23" s="680"/>
      <c r="I23" s="681"/>
      <c r="J23" s="358"/>
      <c r="K23" s="358"/>
      <c r="L23" s="358"/>
      <c r="M23" s="358"/>
      <c r="N23" s="358"/>
      <c r="O23" s="358"/>
      <c r="P23" s="358"/>
      <c r="Q23" s="358"/>
      <c r="R23" s="358"/>
    </row>
    <row r="24" spans="1:18" ht="16.5" x14ac:dyDescent="0.25">
      <c r="A24" s="664" t="s">
        <v>53</v>
      </c>
      <c r="B24" s="665"/>
      <c r="C24" s="680">
        <v>81104</v>
      </c>
      <c r="D24" s="680"/>
      <c r="E24" s="680"/>
      <c r="F24" s="680"/>
      <c r="G24" s="680"/>
      <c r="H24" s="680"/>
      <c r="I24" s="681"/>
      <c r="J24" s="358"/>
      <c r="K24" s="358"/>
      <c r="L24" s="358"/>
      <c r="M24" s="358"/>
      <c r="N24" s="358"/>
      <c r="O24" s="358"/>
      <c r="P24" s="358"/>
      <c r="Q24" s="358"/>
      <c r="R24" s="358"/>
    </row>
    <row r="25" spans="1:18" ht="16.5" x14ac:dyDescent="0.25">
      <c r="A25" s="664" t="s">
        <v>54</v>
      </c>
      <c r="B25" s="665"/>
      <c r="C25" s="680" t="s">
        <v>516</v>
      </c>
      <c r="D25" s="680"/>
      <c r="E25" s="680"/>
      <c r="F25" s="680"/>
      <c r="G25" s="680"/>
      <c r="H25" s="680"/>
      <c r="I25" s="681"/>
      <c r="J25" s="358"/>
      <c r="K25" s="358"/>
      <c r="L25" s="358"/>
      <c r="M25" s="358"/>
      <c r="N25" s="358"/>
      <c r="O25" s="358"/>
      <c r="P25" s="358"/>
      <c r="Q25" s="358"/>
      <c r="R25" s="358"/>
    </row>
    <row r="26" spans="1:18" ht="16.5" x14ac:dyDescent="0.25">
      <c r="A26" s="664" t="s">
        <v>55</v>
      </c>
      <c r="B26" s="665"/>
      <c r="C26" s="680">
        <v>17335345</v>
      </c>
      <c r="D26" s="680"/>
      <c r="E26" s="680"/>
      <c r="F26" s="680"/>
      <c r="G26" s="680"/>
      <c r="H26" s="680"/>
      <c r="I26" s="681"/>
      <c r="J26" s="358"/>
      <c r="K26" s="358"/>
      <c r="L26" s="358"/>
      <c r="M26" s="358"/>
      <c r="N26" s="358"/>
      <c r="O26" s="358"/>
      <c r="P26" s="358"/>
      <c r="Q26" s="358"/>
      <c r="R26" s="358"/>
    </row>
    <row r="27" spans="1:18" ht="19.350000000000001" customHeight="1" x14ac:dyDescent="0.25">
      <c r="A27" s="664" t="s">
        <v>56</v>
      </c>
      <c r="B27" s="665"/>
      <c r="C27" s="666" t="s">
        <v>517</v>
      </c>
      <c r="D27" s="666"/>
      <c r="E27" s="666"/>
      <c r="F27" s="666"/>
      <c r="G27" s="666"/>
      <c r="H27" s="666"/>
      <c r="I27" s="667"/>
      <c r="J27" s="358"/>
      <c r="K27" s="358"/>
      <c r="L27" s="358"/>
      <c r="M27" s="358"/>
      <c r="N27" s="358"/>
      <c r="O27" s="358"/>
      <c r="P27" s="358"/>
      <c r="Q27" s="358"/>
      <c r="R27" s="358"/>
    </row>
    <row r="28" spans="1:18" ht="33" customHeight="1" thickBot="1" x14ac:dyDescent="0.3">
      <c r="A28" s="668" t="s">
        <v>57</v>
      </c>
      <c r="B28" s="669"/>
      <c r="C28" s="670" t="s">
        <v>518</v>
      </c>
      <c r="D28" s="670"/>
      <c r="E28" s="670"/>
      <c r="F28" s="670"/>
      <c r="G28" s="670"/>
      <c r="H28" s="670"/>
      <c r="I28" s="671"/>
      <c r="J28" s="358"/>
      <c r="K28" s="358"/>
      <c r="L28" s="358"/>
      <c r="M28" s="358"/>
      <c r="N28" s="358"/>
      <c r="O28" s="358"/>
      <c r="P28" s="358"/>
      <c r="Q28" s="358"/>
      <c r="R28" s="358"/>
    </row>
    <row r="29" spans="1:1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58"/>
      <c r="K29" s="358"/>
      <c r="L29" s="358"/>
      <c r="M29" s="358"/>
      <c r="N29" s="358"/>
      <c r="O29" s="358"/>
      <c r="P29" s="358"/>
      <c r="Q29" s="358"/>
      <c r="R29" s="358"/>
    </row>
    <row r="30" spans="1:18" ht="15.75" thickBot="1" x14ac:dyDescent="0.3">
      <c r="A30" s="672" t="s">
        <v>61</v>
      </c>
      <c r="B30" s="672"/>
      <c r="C30" s="672"/>
      <c r="D30" s="672"/>
      <c r="E30" s="672"/>
      <c r="F30" s="672"/>
      <c r="G30" s="672"/>
      <c r="H30" s="672"/>
      <c r="I30" s="672"/>
      <c r="J30" s="358"/>
      <c r="K30" s="358"/>
      <c r="L30" s="358"/>
      <c r="M30" s="358"/>
      <c r="N30" s="358"/>
      <c r="O30" s="358"/>
      <c r="P30" s="358"/>
      <c r="Q30" s="358"/>
      <c r="R30" s="358"/>
    </row>
    <row r="31" spans="1:18" ht="14.45" customHeight="1" x14ac:dyDescent="0.25">
      <c r="A31" s="673" t="s">
        <v>58</v>
      </c>
      <c r="B31" s="674"/>
      <c r="C31" s="657" t="s">
        <v>59</v>
      </c>
      <c r="D31" s="657"/>
      <c r="E31" s="678" t="s">
        <v>62</v>
      </c>
      <c r="F31" s="678"/>
      <c r="G31" s="659" t="s">
        <v>63</v>
      </c>
      <c r="H31" s="659"/>
      <c r="I31" s="661" t="s">
        <v>64</v>
      </c>
      <c r="J31" s="358"/>
      <c r="K31" s="358"/>
      <c r="L31" s="358"/>
      <c r="M31" s="358"/>
      <c r="N31" s="358"/>
      <c r="O31" s="358"/>
      <c r="P31" s="358"/>
      <c r="Q31" s="358"/>
      <c r="R31" s="358"/>
    </row>
    <row r="32" spans="1:18" ht="15.75" thickBot="1" x14ac:dyDescent="0.3">
      <c r="A32" s="675"/>
      <c r="B32" s="676"/>
      <c r="C32" s="677"/>
      <c r="D32" s="677"/>
      <c r="E32" s="679"/>
      <c r="F32" s="679"/>
      <c r="G32" s="660"/>
      <c r="H32" s="660"/>
      <c r="I32" s="662"/>
      <c r="J32" s="358"/>
      <c r="K32" s="358"/>
      <c r="L32" s="358"/>
      <c r="M32" s="358"/>
      <c r="N32" s="358"/>
      <c r="O32" s="358"/>
      <c r="P32" s="358"/>
      <c r="Q32" s="358"/>
      <c r="R32" s="358"/>
    </row>
    <row r="33" spans="1:18" x14ac:dyDescent="0.25">
      <c r="A33" s="657"/>
      <c r="B33" s="657"/>
      <c r="C33" s="657"/>
      <c r="D33" s="657"/>
      <c r="E33" s="657"/>
      <c r="F33" s="657"/>
      <c r="G33" s="657"/>
      <c r="H33" s="657"/>
      <c r="I33" s="657"/>
      <c r="J33" s="358"/>
      <c r="K33" s="358"/>
      <c r="L33" s="358"/>
      <c r="M33" s="358"/>
      <c r="N33" s="358"/>
      <c r="O33" s="358"/>
      <c r="P33" s="358"/>
      <c r="Q33" s="358"/>
      <c r="R33" s="358"/>
    </row>
    <row r="34" spans="1:18" x14ac:dyDescent="0.25">
      <c r="A34" s="658"/>
      <c r="B34" s="658"/>
      <c r="C34" s="658"/>
      <c r="D34" s="658"/>
      <c r="E34" s="658"/>
      <c r="F34" s="658"/>
      <c r="G34" s="658"/>
      <c r="H34" s="658"/>
      <c r="I34" s="658"/>
      <c r="J34" s="358"/>
      <c r="K34" s="358"/>
      <c r="L34" s="358"/>
      <c r="M34" s="358"/>
      <c r="N34" s="358"/>
      <c r="O34" s="358"/>
      <c r="P34" s="358"/>
      <c r="Q34" s="358"/>
      <c r="R34" s="358"/>
    </row>
    <row r="35" spans="1:18" x14ac:dyDescent="0.25">
      <c r="A35" s="658"/>
      <c r="B35" s="658"/>
      <c r="C35" s="658"/>
      <c r="D35" s="658"/>
      <c r="E35" s="658"/>
      <c r="F35" s="658"/>
      <c r="G35" s="658"/>
      <c r="H35" s="658"/>
      <c r="I35" s="658"/>
      <c r="J35" s="358"/>
      <c r="K35" s="358"/>
      <c r="L35" s="358"/>
      <c r="M35" s="358"/>
      <c r="N35" s="358"/>
      <c r="O35" s="358"/>
      <c r="P35" s="358"/>
      <c r="Q35" s="358"/>
      <c r="R35" s="358"/>
    </row>
    <row r="36" spans="1:18" x14ac:dyDescent="0.25">
      <c r="A36" s="85"/>
      <c r="B36" s="85"/>
      <c r="C36" s="37"/>
      <c r="D36" s="37"/>
      <c r="E36" s="37"/>
      <c r="F36" s="37"/>
      <c r="G36" s="37"/>
      <c r="H36" s="37"/>
      <c r="I36" s="37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58"/>
      <c r="K37" s="358"/>
      <c r="L37" s="358"/>
      <c r="M37" s="358"/>
      <c r="N37" s="358"/>
      <c r="O37" s="358"/>
      <c r="P37" s="358"/>
      <c r="Q37" s="358"/>
      <c r="R37" s="358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58"/>
      <c r="K38" s="358"/>
      <c r="L38" s="358"/>
      <c r="M38" s="358"/>
      <c r="N38" s="358"/>
      <c r="O38" s="358"/>
      <c r="P38" s="358"/>
      <c r="Q38" s="358"/>
      <c r="R38" s="358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58"/>
      <c r="K39" s="358"/>
      <c r="L39" s="358"/>
      <c r="M39" s="358"/>
      <c r="N39" s="358"/>
      <c r="O39" s="358"/>
      <c r="P39" s="358"/>
      <c r="Q39" s="358"/>
      <c r="R39" s="358"/>
    </row>
    <row r="40" spans="1:1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58"/>
      <c r="K40" s="358"/>
      <c r="L40" s="358"/>
      <c r="M40" s="358"/>
      <c r="N40" s="358"/>
      <c r="O40" s="358"/>
      <c r="P40" s="358"/>
      <c r="Q40" s="358"/>
      <c r="R40" s="358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58"/>
      <c r="K41" s="358"/>
      <c r="L41" s="358"/>
      <c r="M41" s="358"/>
      <c r="N41" s="358"/>
      <c r="O41" s="358"/>
      <c r="P41" s="358"/>
      <c r="Q41" s="358"/>
      <c r="R41" s="358"/>
    </row>
    <row r="42" spans="1:1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58"/>
      <c r="K42" s="358"/>
      <c r="L42" s="358"/>
      <c r="M42" s="358"/>
      <c r="N42" s="358"/>
      <c r="O42" s="358"/>
      <c r="P42" s="358"/>
      <c r="Q42" s="358"/>
      <c r="R42" s="358"/>
    </row>
    <row r="43" spans="1:18" x14ac:dyDescent="0.25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25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25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/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330" t="s">
        <v>268</v>
      </c>
    </row>
    <row r="2" spans="1:3" ht="15.75" thickBot="1" x14ac:dyDescent="0.3">
      <c r="A2" s="338" t="s">
        <v>290</v>
      </c>
      <c r="B2" s="339" t="s">
        <v>291</v>
      </c>
      <c r="C2" s="340" t="s">
        <v>296</v>
      </c>
    </row>
    <row r="3" spans="1:3" x14ac:dyDescent="0.25">
      <c r="A3" s="353" t="s">
        <v>269</v>
      </c>
      <c r="B3" s="341" t="s">
        <v>293</v>
      </c>
      <c r="C3" s="262" t="s">
        <v>292</v>
      </c>
    </row>
    <row r="4" spans="1:3" x14ac:dyDescent="0.25">
      <c r="A4" s="354" t="s">
        <v>270</v>
      </c>
      <c r="B4" s="342" t="s">
        <v>294</v>
      </c>
      <c r="C4" s="343" t="s">
        <v>295</v>
      </c>
    </row>
    <row r="5" spans="1:3" x14ac:dyDescent="0.25">
      <c r="A5" s="354" t="s">
        <v>271</v>
      </c>
      <c r="B5" s="342" t="s">
        <v>297</v>
      </c>
      <c r="C5" s="343" t="s">
        <v>295</v>
      </c>
    </row>
    <row r="6" spans="1:3" x14ac:dyDescent="0.25">
      <c r="A6" s="354" t="s">
        <v>220</v>
      </c>
      <c r="B6" s="342" t="s">
        <v>298</v>
      </c>
      <c r="C6" s="260" t="s">
        <v>300</v>
      </c>
    </row>
    <row r="7" spans="1:3" x14ac:dyDescent="0.25">
      <c r="A7" s="354" t="s">
        <v>272</v>
      </c>
      <c r="B7" s="342" t="s">
        <v>299</v>
      </c>
      <c r="C7" s="343" t="s">
        <v>295</v>
      </c>
    </row>
    <row r="8" spans="1:3" x14ac:dyDescent="0.25">
      <c r="A8" s="354" t="s">
        <v>273</v>
      </c>
      <c r="B8" s="342" t="s">
        <v>301</v>
      </c>
      <c r="C8" s="260" t="s">
        <v>302</v>
      </c>
    </row>
    <row r="9" spans="1:3" x14ac:dyDescent="0.25">
      <c r="A9" s="354" t="s">
        <v>274</v>
      </c>
      <c r="B9" s="342" t="s">
        <v>303</v>
      </c>
      <c r="C9" s="343" t="s">
        <v>295</v>
      </c>
    </row>
    <row r="10" spans="1:3" x14ac:dyDescent="0.25">
      <c r="A10" s="354" t="s">
        <v>275</v>
      </c>
      <c r="B10" s="342" t="s">
        <v>304</v>
      </c>
      <c r="C10" s="260" t="s">
        <v>302</v>
      </c>
    </row>
    <row r="11" spans="1:3" x14ac:dyDescent="0.25">
      <c r="A11" s="354" t="s">
        <v>276</v>
      </c>
      <c r="B11" s="342" t="s">
        <v>305</v>
      </c>
      <c r="C11" s="260" t="s">
        <v>302</v>
      </c>
    </row>
    <row r="12" spans="1:3" x14ac:dyDescent="0.25">
      <c r="A12" s="354" t="s">
        <v>277</v>
      </c>
      <c r="B12" s="342" t="s">
        <v>306</v>
      </c>
      <c r="C12" s="260" t="s">
        <v>302</v>
      </c>
    </row>
    <row r="13" spans="1:3" x14ac:dyDescent="0.25">
      <c r="A13" s="354" t="s">
        <v>278</v>
      </c>
      <c r="B13" s="342" t="s">
        <v>307</v>
      </c>
      <c r="C13" s="260" t="s">
        <v>302</v>
      </c>
    </row>
    <row r="14" spans="1:3" x14ac:dyDescent="0.25">
      <c r="A14" s="354" t="s">
        <v>279</v>
      </c>
      <c r="B14" s="342" t="s">
        <v>341</v>
      </c>
      <c r="C14" s="260" t="s">
        <v>308</v>
      </c>
    </row>
    <row r="15" spans="1:3" x14ac:dyDescent="0.25">
      <c r="A15" s="354" t="s">
        <v>340</v>
      </c>
      <c r="B15" s="342" t="s">
        <v>342</v>
      </c>
      <c r="C15" s="260" t="s">
        <v>302</v>
      </c>
    </row>
    <row r="16" spans="1:3" x14ac:dyDescent="0.25">
      <c r="A16" s="354" t="s">
        <v>284</v>
      </c>
      <c r="B16" s="342" t="s">
        <v>309</v>
      </c>
      <c r="C16" s="260" t="s">
        <v>310</v>
      </c>
    </row>
    <row r="17" spans="1:3" x14ac:dyDescent="0.25">
      <c r="A17" s="354" t="s">
        <v>285</v>
      </c>
      <c r="B17" s="342" t="s">
        <v>311</v>
      </c>
      <c r="C17" s="260" t="s">
        <v>312</v>
      </c>
    </row>
    <row r="18" spans="1:3" ht="30" x14ac:dyDescent="0.25">
      <c r="A18" s="354" t="s">
        <v>286</v>
      </c>
      <c r="B18" s="352" t="s">
        <v>313</v>
      </c>
      <c r="C18" s="355" t="s">
        <v>314</v>
      </c>
    </row>
    <row r="19" spans="1:3" x14ac:dyDescent="0.25">
      <c r="A19" s="354" t="s">
        <v>287</v>
      </c>
      <c r="B19" s="342" t="s">
        <v>315</v>
      </c>
      <c r="C19" s="260" t="s">
        <v>316</v>
      </c>
    </row>
    <row r="20" spans="1:3" x14ac:dyDescent="0.25">
      <c r="A20" s="354" t="s">
        <v>288</v>
      </c>
      <c r="B20" s="342" t="s">
        <v>317</v>
      </c>
      <c r="C20" s="260" t="s">
        <v>319</v>
      </c>
    </row>
    <row r="21" spans="1:3" x14ac:dyDescent="0.25">
      <c r="A21" s="354" t="s">
        <v>289</v>
      </c>
      <c r="B21" s="342" t="s">
        <v>318</v>
      </c>
      <c r="C21" s="260" t="s">
        <v>319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Y32"/>
  <sheetViews>
    <sheetView view="pageBreakPreview" zoomScale="60" zoomScaleNormal="100" workbookViewId="0">
      <selection activeCell="D12" sqref="D12"/>
    </sheetView>
  </sheetViews>
  <sheetFormatPr defaultColWidth="9.140625" defaultRowHeight="15" x14ac:dyDescent="0.25"/>
  <cols>
    <col min="1" max="1" width="9.140625" style="524"/>
    <col min="2" max="2" width="9.140625" style="524" customWidth="1"/>
    <col min="3" max="3" width="32" style="524" customWidth="1"/>
    <col min="4" max="4" width="22.7109375" style="524" customWidth="1"/>
    <col min="5" max="5" width="15.85546875" style="524" customWidth="1"/>
    <col min="6" max="6" width="15.42578125" style="524" customWidth="1"/>
    <col min="7" max="7" width="17.42578125" style="524" customWidth="1"/>
    <col min="8" max="8" width="18" style="524" customWidth="1"/>
    <col min="9" max="9" width="19.140625" style="524" customWidth="1"/>
    <col min="10" max="10" width="19" style="524" customWidth="1"/>
    <col min="11" max="11" width="19.85546875" style="524" customWidth="1"/>
    <col min="12" max="12" width="19.42578125" style="524" bestFit="1" customWidth="1"/>
    <col min="13" max="17" width="9.140625" style="524"/>
    <col min="18" max="18" width="32.28515625" style="524" customWidth="1"/>
    <col min="19" max="19" width="15.42578125" style="524" bestFit="1" customWidth="1"/>
    <col min="20" max="20" width="18.140625" style="524" customWidth="1"/>
    <col min="21" max="21" width="15.42578125" style="524" bestFit="1" customWidth="1"/>
    <col min="22" max="22" width="18.42578125" style="524" customWidth="1"/>
    <col min="23" max="23" width="20.42578125" style="524" customWidth="1"/>
    <col min="24" max="24" width="18.28515625" style="524" bestFit="1" customWidth="1"/>
    <col min="25" max="16384" width="9.140625" style="524"/>
  </cols>
  <sheetData>
    <row r="1" spans="1:24" ht="21.75" customHeight="1" thickBot="1" x14ac:dyDescent="0.3">
      <c r="A1" s="688" t="s">
        <v>362</v>
      </c>
      <c r="B1" s="688"/>
      <c r="C1" s="688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688" t="s">
        <v>363</v>
      </c>
      <c r="Q1" s="688"/>
      <c r="R1" s="688"/>
    </row>
    <row r="2" spans="1:24" ht="75" x14ac:dyDescent="0.25">
      <c r="A2" s="689"/>
      <c r="B2" s="690"/>
      <c r="C2" s="691"/>
      <c r="D2" s="618">
        <f>'Parametre - Agendové IS'!G1</f>
        <v>0</v>
      </c>
      <c r="E2" s="618">
        <f>'Parametre - Agendové IS'!J1</f>
        <v>0</v>
      </c>
      <c r="F2" s="618">
        <f>'Parametre - Agendové IS'!M1</f>
        <v>0</v>
      </c>
      <c r="G2" s="653">
        <f>'Parametre - Agendové IS'!P1</f>
        <v>0</v>
      </c>
      <c r="H2" s="618">
        <f>'Parametre - Agendové IS'!S1</f>
        <v>0</v>
      </c>
      <c r="I2" s="618">
        <f>'Parametre - Agendové IS'!V1</f>
        <v>0</v>
      </c>
      <c r="J2" s="653" t="str">
        <f>'Parametre - Agendové IS'!Y1</f>
        <v>Modul 7 Modul pre elektronické zasielanie stanovísk a vyjadrení</v>
      </c>
      <c r="K2" s="618" t="s">
        <v>350</v>
      </c>
      <c r="L2" s="617" t="s">
        <v>107</v>
      </c>
      <c r="P2" s="689"/>
      <c r="Q2" s="690"/>
      <c r="R2" s="691"/>
      <c r="S2" s="618">
        <f>D2</f>
        <v>0</v>
      </c>
      <c r="T2" s="618">
        <f>E2</f>
        <v>0</v>
      </c>
      <c r="U2" s="618">
        <f>F2</f>
        <v>0</v>
      </c>
      <c r="V2" s="653">
        <f>G2</f>
        <v>0</v>
      </c>
      <c r="W2" s="618" t="s">
        <v>350</v>
      </c>
      <c r="X2" s="617" t="s">
        <v>107</v>
      </c>
    </row>
    <row r="3" spans="1:24" x14ac:dyDescent="0.25">
      <c r="A3" s="359" t="s">
        <v>367</v>
      </c>
      <c r="B3" s="360"/>
      <c r="C3" s="361"/>
      <c r="D3" s="362">
        <f t="shared" ref="D3:J3" si="0">D4+D5+D9+D13+D14</f>
        <v>592438.39767910179</v>
      </c>
      <c r="E3" s="362">
        <f t="shared" si="0"/>
        <v>479429.44497494953</v>
      </c>
      <c r="F3" s="362">
        <f t="shared" si="0"/>
        <v>367127.42805009132</v>
      </c>
      <c r="G3" s="363">
        <f t="shared" si="0"/>
        <v>407624.68820674345</v>
      </c>
      <c r="H3" s="362">
        <f t="shared" si="0"/>
        <v>-5326.8052975807686</v>
      </c>
      <c r="I3" s="362">
        <f t="shared" si="0"/>
        <v>-287016.88731779938</v>
      </c>
      <c r="J3" s="363">
        <f t="shared" si="0"/>
        <v>-23918.073943149953</v>
      </c>
      <c r="K3" s="362">
        <f>K5+K9+K13+K14</f>
        <v>0</v>
      </c>
      <c r="L3" s="525">
        <f>SUM(D3:K3)</f>
        <v>1530358.1923523557</v>
      </c>
      <c r="P3" s="359" t="s">
        <v>367</v>
      </c>
      <c r="Q3" s="360"/>
      <c r="R3" s="361"/>
      <c r="S3" s="362">
        <f>S4+S5+S9+S13+S14</f>
        <v>648014.18857142853</v>
      </c>
      <c r="T3" s="362">
        <f>T4+T5+T9+T13+T14</f>
        <v>521591.96857142862</v>
      </c>
      <c r="U3" s="362">
        <f>U4+U5+U9+U13+U14</f>
        <v>409120.07790337014</v>
      </c>
      <c r="V3" s="363">
        <f>V4+V5+V9+V13+V14</f>
        <v>403557.95857142861</v>
      </c>
      <c r="W3" s="362">
        <f>W5+W9+W13+W14</f>
        <v>0</v>
      </c>
      <c r="X3" s="525">
        <f>SUM(S3:W3)</f>
        <v>1982284.1936176559</v>
      </c>
    </row>
    <row r="4" spans="1:24" x14ac:dyDescent="0.25">
      <c r="A4" s="364"/>
      <c r="B4" s="365" t="s">
        <v>68</v>
      </c>
      <c r="C4" s="366"/>
      <c r="D4" s="548">
        <f>'Parametre - Agendové IS'!I107+NPV(Faktory!$D$5,'Parametre - Agendové IS'!I108:I116)</f>
        <v>-12582.537709386619</v>
      </c>
      <c r="E4" s="548">
        <f>'Parametre - Agendové IS'!L107+NPV(Faktory!$D$5,'Parametre - Agendové IS'!L108:L116)</f>
        <v>-34498.781229865439</v>
      </c>
      <c r="F4" s="548">
        <f>'Parametre - Agendové IS'!O107+NPV(Faktory!$D$5,'Parametre - Agendové IS'!O108:O116)</f>
        <v>-5326.8052975807686</v>
      </c>
      <c r="G4" s="549">
        <f>'Parametre - Agendové IS'!R107+NPV(Faktory!$D$5,'Parametre - Agendové IS'!R108:R116)</f>
        <v>-287016.88731779938</v>
      </c>
      <c r="H4" s="548">
        <f>'Parametre - Agendové IS'!O107+NPV(Faktory!$D$5,'Parametre - Agendové IS'!O108:O116)</f>
        <v>-5326.8052975807686</v>
      </c>
      <c r="I4" s="548">
        <f>'Parametre - Agendové IS'!R107+NPV(Faktory!$D$5,'Parametre - Agendové IS'!R108:R116)</f>
        <v>-287016.88731779938</v>
      </c>
      <c r="J4" s="549">
        <f>'Parametre - Agendové IS'!U107+NPV(Faktory!$D$5,'Parametre - Agendové IS'!U108:U116)</f>
        <v>-23918.073943149953</v>
      </c>
      <c r="K4" s="621" t="s">
        <v>227</v>
      </c>
      <c r="L4" s="550">
        <f>SUM(D4:K4)</f>
        <v>-655686.77811316238</v>
      </c>
      <c r="P4" s="364"/>
      <c r="Q4" s="365" t="s">
        <v>68</v>
      </c>
      <c r="R4" s="366"/>
      <c r="S4" s="548">
        <f>SUM('Parametre - Agendové IS'!I107:I116)</f>
        <v>-15295.75</v>
      </c>
      <c r="T4" s="548">
        <f>SUM('Parametre - Agendové IS'!L107:L116)</f>
        <v>-42550</v>
      </c>
      <c r="U4" s="548">
        <f>SUM('Parametre - Agendové IS'!O107:O116)</f>
        <v>-6527.9206680584539</v>
      </c>
      <c r="V4" s="549">
        <f>SUM('Parametre - Agendové IS'!R107:R116)</f>
        <v>-354000</v>
      </c>
      <c r="W4" s="621" t="s">
        <v>227</v>
      </c>
      <c r="X4" s="550">
        <f>SUM(S4:W4)</f>
        <v>-418373.67066805845</v>
      </c>
    </row>
    <row r="5" spans="1:24" x14ac:dyDescent="0.25">
      <c r="A5" s="364"/>
      <c r="B5" s="365" t="s">
        <v>225</v>
      </c>
      <c r="C5" s="366"/>
      <c r="D5" s="548">
        <f t="shared" ref="D5:K5" si="1">SUM(D6:D8)</f>
        <v>472825.62918367342</v>
      </c>
      <c r="E5" s="548">
        <f t="shared" si="1"/>
        <v>381732.92000000004</v>
      </c>
      <c r="F5" s="548">
        <f t="shared" si="1"/>
        <v>240258.92714285714</v>
      </c>
      <c r="G5" s="549">
        <f t="shared" si="1"/>
        <v>562446.2693197279</v>
      </c>
      <c r="H5" s="548">
        <f t="shared" si="1"/>
        <v>0</v>
      </c>
      <c r="I5" s="548">
        <f t="shared" si="1"/>
        <v>0</v>
      </c>
      <c r="J5" s="549">
        <f t="shared" si="1"/>
        <v>0</v>
      </c>
      <c r="K5" s="548">
        <f t="shared" si="1"/>
        <v>0</v>
      </c>
      <c r="L5" s="550">
        <f>SUM(D5:K5)</f>
        <v>1657263.7456462584</v>
      </c>
      <c r="P5" s="364"/>
      <c r="Q5" s="365" t="s">
        <v>225</v>
      </c>
      <c r="R5" s="366"/>
      <c r="S5" s="548">
        <f>SUM(S6:S8)</f>
        <v>494738.50999999995</v>
      </c>
      <c r="T5" s="548">
        <f>SUM(T6:T8)</f>
        <v>395570.54000000004</v>
      </c>
      <c r="U5" s="548">
        <f>SUM(U6:U8)</f>
        <v>247076.57</v>
      </c>
      <c r="V5" s="549">
        <f>SUM(V6:V8)</f>
        <v>588986.53</v>
      </c>
      <c r="W5" s="548">
        <f>SUM(W6+W7)</f>
        <v>0</v>
      </c>
      <c r="X5" s="550">
        <f>SUM(S5:W5)</f>
        <v>1726372.1500000001</v>
      </c>
    </row>
    <row r="6" spans="1:24" x14ac:dyDescent="0.25">
      <c r="A6" s="367"/>
      <c r="B6" s="368"/>
      <c r="C6" s="369" t="s">
        <v>109</v>
      </c>
      <c r="D6" s="551">
        <f>('TCO TO BE- SW'!F26+NPV(Faktory!$D$5,'TCO TO BE- SW'!F27:F35)+'TCO TO BE- SW'!F36+NPV(Faktory!$D$5,'TCO TO BE- SW'!F37:F45)+'TCO TO BE- SW'!F46+NPV(Faktory!$D$5,'TCO TO BE- SW'!F47:F55))</f>
        <v>472825.62918367342</v>
      </c>
      <c r="E6" s="551">
        <f>('TCO TO BE- SW'!G26+NPV(Faktory!$D$5,'TCO TO BE- SW'!G27:G35)+'TCO TO BE- SW'!G36+NPV(Faktory!$D$5,'TCO TO BE- SW'!G37:G45)+'TCO TO BE- SW'!G46+NPV(Faktory!$D$5,'TCO TO BE- SW'!G47:G55))</f>
        <v>381732.92000000004</v>
      </c>
      <c r="F6" s="551">
        <f>('TCO TO BE- SW'!H26+NPV(Faktory!$D$5,'TCO TO BE- SW'!H27:H35)+'TCO TO BE- SW'!H36+NPV(Faktory!$D$5,'TCO TO BE- SW'!H37:H45)+'TCO TO BE- SW'!H46+NPV(Faktory!$D$5,'TCO TO BE- SW'!H47:H55))</f>
        <v>240258.92714285714</v>
      </c>
      <c r="G6" s="551">
        <f>('TCO TO BE- SW'!I26+NPV(Faktory!$D$5,'TCO TO BE- SW'!I27:I35)+'TCO TO BE- SW'!I36+NPV(Faktory!$D$5,'TCO TO BE- SW'!I37:I45)+'TCO TO BE- SW'!I46+NPV(Faktory!$D$5,'TCO TO BE- SW'!I47:I55))</f>
        <v>562446.2693197279</v>
      </c>
      <c r="H6" s="551">
        <f>('TCO TO BE- SW'!M26+NPV(Faktory!$D$5,'TCO TO BE- SW'!M27:M35)+'TCO TO BE- SW'!M36+NPV(Faktory!$D$5,'TCO TO BE- SW'!M37:M45)+'TCO TO BE- SW'!M46+NPV(Faktory!$D$5,'TCO TO BE- SW'!M47:M55))</f>
        <v>0</v>
      </c>
      <c r="I6" s="551">
        <f>('TCO TO BE- SW'!N26+NPV(Faktory!$D$5,'TCO TO BE- SW'!N27:N35)+'TCO TO BE- SW'!N36+NPV(Faktory!$D$5,'TCO TO BE- SW'!N37:N45)+'TCO TO BE- SW'!N46+NPV(Faktory!$D$5,'TCO TO BE- SW'!N47:N55))</f>
        <v>0</v>
      </c>
      <c r="J6" s="551">
        <f>('TCO TO BE- SW'!O26+NPV(Faktory!$D$5,'TCO TO BE- SW'!O27:O35)+'TCO TO BE- SW'!O36+NPV(Faktory!$D$5,'TCO TO BE- SW'!O37:O45)+'TCO TO BE- SW'!O46+NPV(Faktory!$D$5,'TCO TO BE- SW'!O47:O55))</f>
        <v>0</v>
      </c>
      <c r="K6" s="551">
        <f>('TCO TO BE- SW'!M26+NPV(Faktory!$D$5,'TCO TO BE- SW'!M27:M35)+'TCO TO BE- SW'!M36+NPV(Faktory!$D$5,'TCO TO BE- SW'!M37:M45)+'TCO TO BE- SW'!M46+NPV(Faktory!$D$5,'TCO TO BE- SW'!M47:M55))</f>
        <v>0</v>
      </c>
      <c r="L6" s="553">
        <f>SUM(D6:K6)</f>
        <v>1657263.7456462584</v>
      </c>
      <c r="P6" s="367"/>
      <c r="Q6" s="368"/>
      <c r="R6" s="369" t="s">
        <v>109</v>
      </c>
      <c r="S6" s="551">
        <f>'TCO TO BE- SW'!F25</f>
        <v>494738.50999999995</v>
      </c>
      <c r="T6" s="551">
        <f>'TCO TO BE- SW'!G25</f>
        <v>395570.54000000004</v>
      </c>
      <c r="U6" s="551">
        <f>'TCO TO BE- SW'!H25</f>
        <v>247076.57</v>
      </c>
      <c r="V6" s="551">
        <f>'TCO TO BE- SW'!I25</f>
        <v>588986.53</v>
      </c>
      <c r="W6" s="551">
        <f>'TCO TO BE- SW'!M25</f>
        <v>0</v>
      </c>
      <c r="X6" s="553">
        <f>SUM(S6:W6)</f>
        <v>1726372.1500000001</v>
      </c>
    </row>
    <row r="7" spans="1:24" x14ac:dyDescent="0.25">
      <c r="A7" s="367"/>
      <c r="B7" s="368"/>
      <c r="C7" s="369" t="s">
        <v>67</v>
      </c>
      <c r="D7" s="551">
        <f>('TCO TO BE- SW'!F5+NPV(Faktory!$D$5,'TCO TO BE- SW'!F6:F14)+'TCO TO BE- SW'!F15+NPV(Faktory!$D$5,'TCO TO BE- SW'!F16:F24))</f>
        <v>0</v>
      </c>
      <c r="E7" s="551">
        <f>('TCO TO BE- SW'!G5+NPV(Faktory!$D$5,'TCO TO BE- SW'!G6:G14)+'TCO TO BE- SW'!G15+NPV(Faktory!$D$5,'TCO TO BE- SW'!G16:G24))</f>
        <v>0</v>
      </c>
      <c r="F7" s="551">
        <f>('TCO TO BE- SW'!H5+NPV(Faktory!$D$5,'TCO TO BE- SW'!H6:H14)+'TCO TO BE- SW'!H15+NPV(Faktory!$D$5,'TCO TO BE- SW'!H16:H24))</f>
        <v>0</v>
      </c>
      <c r="G7" s="551">
        <f>('TCO TO BE- SW'!I5+NPV(Faktory!$D$5,'TCO TO BE- SW'!I6:I14)+'TCO TO BE- SW'!I15+NPV(Faktory!$D$5,'TCO TO BE- SW'!I16:I24))</f>
        <v>0</v>
      </c>
      <c r="H7" s="551">
        <f>('TCO TO BE- SW'!M5+NPV(Faktory!$D$5,'TCO TO BE- SW'!M6:M14)+'TCO TO BE- SW'!M15+NPV(Faktory!$D$5,'TCO TO BE- SW'!M16:M24))</f>
        <v>0</v>
      </c>
      <c r="I7" s="551">
        <f>('TCO TO BE- SW'!N5+NPV(Faktory!$D$5,'TCO TO BE- SW'!N6:N14)+'TCO TO BE- SW'!N15+NPV(Faktory!$D$5,'TCO TO BE- SW'!N16:N24))</f>
        <v>0</v>
      </c>
      <c r="J7" s="551">
        <f>('TCO TO BE- SW'!O5+NPV(Faktory!$D$5,'TCO TO BE- SW'!O6:O14)+'TCO TO BE- SW'!O15+NPV(Faktory!$D$5,'TCO TO BE- SW'!O16:O24))</f>
        <v>0</v>
      </c>
      <c r="K7" s="551">
        <f>('TCO TO BE- SW'!M5+NPV(Faktory!$D$5,'TCO TO BE- SW'!M6:M14)+'TCO TO BE- SW'!M15+NPV(Faktory!$D$5,'TCO TO BE- SW'!M16:M24))</f>
        <v>0</v>
      </c>
      <c r="L7" s="553">
        <f>SUM(D7:K7)</f>
        <v>0</v>
      </c>
      <c r="P7" s="367"/>
      <c r="Q7" s="368"/>
      <c r="R7" s="369" t="s">
        <v>67</v>
      </c>
      <c r="S7" s="551">
        <f>'TCO TO BE- SW'!F4</f>
        <v>0</v>
      </c>
      <c r="T7" s="551">
        <f>'TCO TO BE- SW'!G4</f>
        <v>0</v>
      </c>
      <c r="U7" s="551">
        <f>'TCO TO BE- SW'!H4</f>
        <v>0</v>
      </c>
      <c r="V7" s="551">
        <f>'TCO TO BE- SW'!I4</f>
        <v>0</v>
      </c>
      <c r="W7" s="551">
        <f>'TCO TO BE- SW'!M4</f>
        <v>0</v>
      </c>
      <c r="X7" s="553">
        <f>SUM(S7:W7)</f>
        <v>0</v>
      </c>
    </row>
    <row r="8" spans="1:24" x14ac:dyDescent="0.25">
      <c r="A8" s="367"/>
      <c r="B8" s="368"/>
      <c r="C8" s="369" t="s">
        <v>66</v>
      </c>
      <c r="D8" s="551">
        <f>('TCO TO BE - HW'!F4+NPV(Faktory!$D$5,'TCO TO BE - HW'!F5:F13)+'TCO TO BE - HW'!F14+NPV(Faktory!$D$5,'TCO TO BE - HW'!F15:F23)+'TCO TO BE - HW'!F24+NPV(Faktory!$D$5,'TCO TO BE - HW'!F25:F33))</f>
        <v>0</v>
      </c>
      <c r="E8" s="551">
        <f>('TCO TO BE - HW'!G4+NPV(Faktory!$D$5,'TCO TO BE - HW'!G5:G13)+'TCO TO BE - HW'!G14+NPV(Faktory!$D$5,'TCO TO BE - HW'!G15:G23)+'TCO TO BE - HW'!G24+NPV(Faktory!$D$5,'TCO TO BE - HW'!G25:G33))</f>
        <v>0</v>
      </c>
      <c r="F8" s="551">
        <f>('TCO TO BE - HW'!H4+NPV(Faktory!$D$5,'TCO TO BE - HW'!H5:H13)+'TCO TO BE - HW'!H14+NPV(Faktory!$D$5,'TCO TO BE - HW'!H15:H23)+'TCO TO BE - HW'!H24+NPV(Faktory!$D$5,'TCO TO BE - HW'!H25:H33))</f>
        <v>0</v>
      </c>
      <c r="G8" s="551">
        <f>('TCO TO BE - HW'!I4+NPV(Faktory!$D$5,'TCO TO BE - HW'!I5:I13)+'TCO TO BE - HW'!I14+NPV(Faktory!$D$5,'TCO TO BE - HW'!I15:I23)+'TCO TO BE - HW'!I24+NPV(Faktory!$D$5,'TCO TO BE - HW'!I25:I33))</f>
        <v>0</v>
      </c>
      <c r="H8" s="551">
        <f>('TCO TO BE - HW'!J4+NPV(Faktory!$D$5,'TCO TO BE - HW'!J5:J13)+'TCO TO BE - HW'!J14+NPV(Faktory!$D$5,'TCO TO BE - HW'!J15:J23)+'TCO TO BE - HW'!J24+NPV(Faktory!$D$5,'TCO TO BE - HW'!J25:J33))</f>
        <v>0</v>
      </c>
      <c r="I8" s="551">
        <f>('TCO TO BE - HW'!K4+NPV(Faktory!$D$5,'TCO TO BE - HW'!K5:K13)+'TCO TO BE - HW'!K14+NPV(Faktory!$D$5,'TCO TO BE - HW'!K15:K23)+'TCO TO BE - HW'!K24+NPV(Faktory!$D$5,'TCO TO BE - HW'!K25:K33))</f>
        <v>0</v>
      </c>
      <c r="J8" s="551">
        <f>('TCO TO BE - HW'!L4+NPV(Faktory!$D$5,'TCO TO BE - HW'!L5:L13)+'TCO TO BE - HW'!L14+NPV(Faktory!$D$5,'TCO TO BE - HW'!L15:L23)+'TCO TO BE - HW'!L24+NPV(Faktory!$D$5,'TCO TO BE - HW'!L25:L33))</f>
        <v>0</v>
      </c>
      <c r="K8" s="554" t="s">
        <v>227</v>
      </c>
      <c r="L8" s="553">
        <f t="shared" ref="L8:L17" si="2">SUM(D8:G8)</f>
        <v>0</v>
      </c>
      <c r="P8" s="367"/>
      <c r="Q8" s="368"/>
      <c r="R8" s="369" t="s">
        <v>66</v>
      </c>
      <c r="S8" s="551">
        <f>'TCO TO BE - HW'!F3</f>
        <v>0</v>
      </c>
      <c r="T8" s="551">
        <f>'TCO TO BE - HW'!G3</f>
        <v>0</v>
      </c>
      <c r="U8" s="551">
        <f>'TCO TO BE - HW'!H3</f>
        <v>0</v>
      </c>
      <c r="V8" s="551">
        <f>'TCO TO BE - HW'!I3</f>
        <v>0</v>
      </c>
      <c r="W8" s="554" t="s">
        <v>227</v>
      </c>
      <c r="X8" s="553">
        <f t="shared" ref="X8:X23" si="3">SUM(S8:V8)</f>
        <v>0</v>
      </c>
    </row>
    <row r="9" spans="1:24" x14ac:dyDescent="0.25">
      <c r="A9" s="364"/>
      <c r="B9" s="365" t="s">
        <v>226</v>
      </c>
      <c r="C9" s="366"/>
      <c r="D9" s="548">
        <f t="shared" ref="D9:K9" si="4">SUM(D10:D12)</f>
        <v>104968.22489610099</v>
      </c>
      <c r="E9" s="548">
        <f t="shared" si="4"/>
        <v>104968.22489610099</v>
      </c>
      <c r="F9" s="548">
        <f t="shared" si="4"/>
        <v>104968.22489610099</v>
      </c>
      <c r="G9" s="549">
        <f t="shared" si="4"/>
        <v>104968.22489610099</v>
      </c>
      <c r="H9" s="548">
        <f t="shared" si="4"/>
        <v>0</v>
      </c>
      <c r="I9" s="548">
        <f t="shared" si="4"/>
        <v>0</v>
      </c>
      <c r="J9" s="549">
        <f t="shared" si="4"/>
        <v>0</v>
      </c>
      <c r="K9" s="548">
        <f t="shared" si="4"/>
        <v>0</v>
      </c>
      <c r="L9" s="550">
        <f>SUM(D9:K9)</f>
        <v>419872.89958440396</v>
      </c>
      <c r="P9" s="364"/>
      <c r="Q9" s="365" t="s">
        <v>226</v>
      </c>
      <c r="R9" s="366"/>
      <c r="S9" s="548">
        <f>SUM(S10:S12)</f>
        <v>140000</v>
      </c>
      <c r="T9" s="548">
        <f>SUM(T10:T12)</f>
        <v>140000</v>
      </c>
      <c r="U9" s="548">
        <f>SUM(U10:U12)</f>
        <v>140000</v>
      </c>
      <c r="V9" s="549">
        <f>SUM(V10:V12)</f>
        <v>140000</v>
      </c>
      <c r="W9" s="548">
        <f>SUM(W10+W11)</f>
        <v>0</v>
      </c>
      <c r="X9" s="550">
        <f>SUM(S9:W9)</f>
        <v>560000</v>
      </c>
    </row>
    <row r="10" spans="1:24" x14ac:dyDescent="0.25">
      <c r="A10" s="367"/>
      <c r="B10" s="368"/>
      <c r="C10" s="369" t="s">
        <v>109</v>
      </c>
      <c r="D10" s="551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104968.22489610099</v>
      </c>
      <c r="E10" s="551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104968.22489610099</v>
      </c>
      <c r="F10" s="551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104968.22489610099</v>
      </c>
      <c r="G10" s="551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104968.22489610099</v>
      </c>
      <c r="H10" s="551">
        <f>('TCO TO BE- SW'!M79+NPV(Faktory!$D$5,'TCO TO BE- SW'!M80:M88)+'TCO TO BE- SW'!M89+NPV(Faktory!$D$5,'TCO TO BE- SW'!M90:M98)+'TCO TO BE- SW'!M99+NPV(Faktory!$D$5,'TCO TO BE- SW'!M100:M108)+'TCO TO BE- SW'!M109+NPV(Faktory!$D$5,'TCO TO BE- SW'!M110:M118)+'TCO TO BE- SW'!M119+NPV(Faktory!$D$5,'TCO TO BE- SW'!M120:M128))</f>
        <v>0</v>
      </c>
      <c r="I10" s="551">
        <f>('TCO TO BE- SW'!N79+NPV(Faktory!$D$5,'TCO TO BE- SW'!N80:N88)+'TCO TO BE- SW'!N89+NPV(Faktory!$D$5,'TCO TO BE- SW'!N90:N98)+'TCO TO BE- SW'!N99+NPV(Faktory!$D$5,'TCO TO BE- SW'!N100:N108)+'TCO TO BE- SW'!N109+NPV(Faktory!$D$5,'TCO TO BE- SW'!N110:N118)+'TCO TO BE- SW'!N119+NPV(Faktory!$D$5,'TCO TO BE- SW'!N120:N128))</f>
        <v>0</v>
      </c>
      <c r="J10" s="551">
        <f>('TCO TO BE- SW'!O79+NPV(Faktory!$D$5,'TCO TO BE- SW'!O80:O88)+'TCO TO BE- SW'!O89+NPV(Faktory!$D$5,'TCO TO BE- SW'!O90:O98)+'TCO TO BE- SW'!O99+NPV(Faktory!$D$5,'TCO TO BE- SW'!O100:O108)+'TCO TO BE- SW'!O109+NPV(Faktory!$D$5,'TCO TO BE- SW'!O110:O118)+'TCO TO BE- SW'!O119+NPV(Faktory!$D$5,'TCO TO BE- SW'!O120:O128))</f>
        <v>0</v>
      </c>
      <c r="K10" s="551">
        <f>('TCO TO BE- SW'!M79+NPV(Faktory!$D$5,'TCO TO BE- SW'!M80:M88)+'TCO TO BE- SW'!M89+NPV(Faktory!$D$5,'TCO TO BE- SW'!M90:M98)+'TCO TO BE- SW'!M99+NPV(Faktory!$D$5,'TCO TO BE- SW'!M100:M108)+'TCO TO BE- SW'!M109+NPV(Faktory!$D$5,'TCO TO BE- SW'!M110:M118)+'TCO TO BE- SW'!M119+NPV(Faktory!$D$5,'TCO TO BE- SW'!M120:M128))</f>
        <v>0</v>
      </c>
      <c r="L10" s="553">
        <f>SUM(D10:K10)</f>
        <v>419872.89958440396</v>
      </c>
      <c r="P10" s="367"/>
      <c r="Q10" s="368"/>
      <c r="R10" s="369" t="s">
        <v>109</v>
      </c>
      <c r="S10" s="551">
        <f>'TCO TO BE- SW'!F78</f>
        <v>140000</v>
      </c>
      <c r="T10" s="551">
        <f>'TCO TO BE- SW'!G78</f>
        <v>140000</v>
      </c>
      <c r="U10" s="551">
        <f>'TCO TO BE- SW'!H78</f>
        <v>140000</v>
      </c>
      <c r="V10" s="551">
        <f>'TCO TO BE- SW'!I78</f>
        <v>140000</v>
      </c>
      <c r="W10" s="551">
        <f>'TCO TO BE- SW'!M78</f>
        <v>0</v>
      </c>
      <c r="X10" s="553">
        <f>SUM(S10:W10)</f>
        <v>560000</v>
      </c>
    </row>
    <row r="11" spans="1:24" x14ac:dyDescent="0.25">
      <c r="A11" s="367"/>
      <c r="B11" s="368"/>
      <c r="C11" s="369" t="s">
        <v>67</v>
      </c>
      <c r="D11" s="551">
        <f>('TCO TO BE- SW'!F58+NPV(Faktory!$D$5,'TCO TO BE- SW'!F59:F67)+'TCO TO BE- SW'!F68+NPV(Faktory!$D$5,'TCO TO BE- SW'!F69:F77))</f>
        <v>0</v>
      </c>
      <c r="E11" s="551">
        <f>('TCO TO BE- SW'!G58+NPV(Faktory!$D$5,'TCO TO BE- SW'!G59:G67)+'TCO TO BE- SW'!G68+NPV(Faktory!$D$5,'TCO TO BE- SW'!G69:G77))</f>
        <v>0</v>
      </c>
      <c r="F11" s="551">
        <f>('TCO TO BE- SW'!H58+NPV(Faktory!$D$5,'TCO TO BE- SW'!H59:H67)+'TCO TO BE- SW'!H68+NPV(Faktory!$D$5,'TCO TO BE- SW'!H69:H77))</f>
        <v>0</v>
      </c>
      <c r="G11" s="551">
        <f>('TCO TO BE- SW'!I58+NPV(Faktory!$D$5,'TCO TO BE- SW'!I59:I67)+'TCO TO BE- SW'!I68+NPV(Faktory!$D$5,'TCO TO BE- SW'!I69:I77))</f>
        <v>0</v>
      </c>
      <c r="H11" s="551">
        <f>('TCO TO BE- SW'!M58+NPV(Faktory!$D$5,'TCO TO BE- SW'!M59:M67)+'TCO TO BE- SW'!M68+NPV(Faktory!$D$5,'TCO TO BE- SW'!M69:M77))</f>
        <v>0</v>
      </c>
      <c r="I11" s="551">
        <f>('TCO TO BE- SW'!N58+NPV(Faktory!$D$5,'TCO TO BE- SW'!N59:N67)+'TCO TO BE- SW'!N68+NPV(Faktory!$D$5,'TCO TO BE- SW'!N69:N77))</f>
        <v>0</v>
      </c>
      <c r="J11" s="551">
        <f>('TCO TO BE- SW'!O58+NPV(Faktory!$D$5,'TCO TO BE- SW'!O59:O67)+'TCO TO BE- SW'!O68+NPV(Faktory!$D$5,'TCO TO BE- SW'!O69:O77))</f>
        <v>0</v>
      </c>
      <c r="K11" s="551">
        <f>('TCO TO BE- SW'!M58+NPV(Faktory!$D$5,'TCO TO BE- SW'!M59:M67)+'TCO TO BE- SW'!M68+NPV(Faktory!$D$5,'TCO TO BE- SW'!M69:M77))</f>
        <v>0</v>
      </c>
      <c r="L11" s="553">
        <f>SUM(D11:K11)</f>
        <v>0</v>
      </c>
      <c r="P11" s="367"/>
      <c r="Q11" s="368"/>
      <c r="R11" s="369" t="s">
        <v>67</v>
      </c>
      <c r="S11" s="551">
        <f>'TCO TO BE- SW'!F57</f>
        <v>0</v>
      </c>
      <c r="T11" s="551">
        <f>'TCO TO BE- SW'!G57</f>
        <v>0</v>
      </c>
      <c r="U11" s="551">
        <f>'TCO TO BE- SW'!H57</f>
        <v>0</v>
      </c>
      <c r="V11" s="551">
        <f>'TCO TO BE- SW'!I57</f>
        <v>0</v>
      </c>
      <c r="W11" s="551">
        <f>'TCO TO BE- SW'!M57</f>
        <v>0</v>
      </c>
      <c r="X11" s="553">
        <f>SUM(S11:W11)</f>
        <v>0</v>
      </c>
    </row>
    <row r="12" spans="1:24" x14ac:dyDescent="0.25">
      <c r="A12" s="367"/>
      <c r="B12" s="368"/>
      <c r="C12" s="369" t="s">
        <v>66</v>
      </c>
      <c r="D12" s="551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51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51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51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51">
        <f>('TCO TO BE - HW'!J35+NPV(Faktory!$D$5,'TCO TO BE - HW'!J36:J44)+'TCO TO BE - HW'!J45+NPV(Faktory!$D$5,'TCO TO BE - HW'!J46:J54)+'TCO TO BE - HW'!J55+NPV(Faktory!$D$5,'TCO TO BE - HW'!J56:J64)+'TCO TO BE - HW'!J65+NPV(Faktory!$D$5,'TCO TO BE - HW'!J66:J74)+'TCO TO BE - HW'!J75+NPV(Faktory!$D$5,'TCO TO BE - HW'!J76:J84))</f>
        <v>0</v>
      </c>
      <c r="I12" s="551">
        <f>('TCO TO BE - HW'!K35+NPV(Faktory!$D$5,'TCO TO BE - HW'!K36:K44)+'TCO TO BE - HW'!K45+NPV(Faktory!$D$5,'TCO TO BE - HW'!K46:K54)+'TCO TO BE - HW'!K55+NPV(Faktory!$D$5,'TCO TO BE - HW'!K56:K64)+'TCO TO BE - HW'!K65+NPV(Faktory!$D$5,'TCO TO BE - HW'!K66:K74)+'TCO TO BE - HW'!K75+NPV(Faktory!$D$5,'TCO TO BE - HW'!K76:K84))</f>
        <v>0</v>
      </c>
      <c r="J12" s="551">
        <f>('TCO TO BE - HW'!L35+NPV(Faktory!$D$5,'TCO TO BE - HW'!L36:L44)+'TCO TO BE - HW'!L45+NPV(Faktory!$D$5,'TCO TO BE - HW'!L46:L54)+'TCO TO BE - HW'!L55+NPV(Faktory!$D$5,'TCO TO BE - HW'!L56:L64)+'TCO TO BE - HW'!L65+NPV(Faktory!$D$5,'TCO TO BE - HW'!L66:L74)+'TCO TO BE - HW'!L75+NPV(Faktory!$D$5,'TCO TO BE - HW'!L76:L84))</f>
        <v>0</v>
      </c>
      <c r="K12" s="554" t="s">
        <v>227</v>
      </c>
      <c r="L12" s="553">
        <f t="shared" si="2"/>
        <v>0</v>
      </c>
      <c r="P12" s="367"/>
      <c r="Q12" s="368"/>
      <c r="R12" s="369" t="s">
        <v>66</v>
      </c>
      <c r="S12" s="551">
        <f>'TCO TO BE - HW'!F34</f>
        <v>0</v>
      </c>
      <c r="T12" s="551">
        <f>'TCO TO BE - HW'!G34</f>
        <v>0</v>
      </c>
      <c r="U12" s="551">
        <f>'TCO TO BE - HW'!H34</f>
        <v>0</v>
      </c>
      <c r="V12" s="551">
        <f>'TCO TO BE - HW'!I34</f>
        <v>0</v>
      </c>
      <c r="W12" s="554" t="s">
        <v>227</v>
      </c>
      <c r="X12" s="553">
        <f t="shared" si="3"/>
        <v>0</v>
      </c>
    </row>
    <row r="13" spans="1:24" x14ac:dyDescent="0.25">
      <c r="A13" s="367"/>
      <c r="B13" s="365" t="s">
        <v>320</v>
      </c>
      <c r="C13" s="366"/>
      <c r="D13" s="624">
        <f>'TCO TO BE- SW'!F130+NPV(0.05,'TCO TO BE- SW'!F131:F139)+'TCO TO BE- SW'!F140+NPV(0.05,'TCO TO BE- SW'!F141:F149)</f>
        <v>27227.081308713961</v>
      </c>
      <c r="E13" s="624">
        <f>'TCO TO BE- SW'!G130+NPV(0.05,'TCO TO BE- SW'!G131:G139)+'TCO TO BE- SW'!G140+NPV(0.05,'TCO TO BE- SW'!G141:G149)</f>
        <v>27227.081308713961</v>
      </c>
      <c r="F13" s="624">
        <f>'TCO TO BE- SW'!H130+NPV(0.05,'TCO TO BE- SW'!H131:H139)+'TCO TO BE- SW'!H140+NPV(0.05,'TCO TO BE- SW'!H141:H149)</f>
        <v>27227.081308713961</v>
      </c>
      <c r="G13" s="625">
        <f>'TCO TO BE- SW'!I130+NPV(0.05,'TCO TO BE- SW'!I131:I139)+'TCO TO BE- SW'!I140+NPV(0.05,'TCO TO BE- SW'!I141:I149)</f>
        <v>27227.081308713961</v>
      </c>
      <c r="H13" s="624">
        <f>'TCO TO BE- SW'!M130+NPV(0.05,'TCO TO BE- SW'!M131:M139)+'TCO TO BE- SW'!M140+NPV(0.05,'TCO TO BE- SW'!M141:M149)</f>
        <v>0</v>
      </c>
      <c r="I13" s="624">
        <f>'TCO TO BE- SW'!N130+NPV(0.05,'TCO TO BE- SW'!N131:N139)+'TCO TO BE- SW'!N140+NPV(0.05,'TCO TO BE- SW'!N141:N149)</f>
        <v>0</v>
      </c>
      <c r="J13" s="625">
        <f>'TCO TO BE- SW'!O130+NPV(0.05,'TCO TO BE- SW'!O131:O139)+'TCO TO BE- SW'!O140+NPV(0.05,'TCO TO BE- SW'!O141:O149)</f>
        <v>0</v>
      </c>
      <c r="K13" s="624">
        <f>'TCO TO BE- SW'!M130+NPV(0.05,'TCO TO BE- SW'!M131:M139)+'TCO TO BE- SW'!M140+NPV(0.05,'TCO TO BE- SW'!M141:M149)</f>
        <v>0</v>
      </c>
      <c r="L13" s="550">
        <f>SUM(D13:K13)</f>
        <v>108908.32523485585</v>
      </c>
      <c r="P13" s="367"/>
      <c r="Q13" s="365" t="s">
        <v>320</v>
      </c>
      <c r="R13" s="366"/>
      <c r="S13" s="624">
        <f>'TCO TO BE- SW'!F129</f>
        <v>28571.428571428572</v>
      </c>
      <c r="T13" s="624">
        <f>'TCO TO BE- SW'!G129</f>
        <v>28571.428571428572</v>
      </c>
      <c r="U13" s="624">
        <f>'TCO TO BE- SW'!H129</f>
        <v>28571.428571428572</v>
      </c>
      <c r="V13" s="625">
        <f>'TCO TO BE- SW'!I129</f>
        <v>28571.428571428572</v>
      </c>
      <c r="W13" s="624">
        <f>'TCO TO BE- SW'!M129</f>
        <v>0</v>
      </c>
      <c r="X13" s="550">
        <f>SUM(S13:W13)</f>
        <v>114285.71428571429</v>
      </c>
    </row>
    <row r="14" spans="1:24" x14ac:dyDescent="0.25">
      <c r="A14" s="367"/>
      <c r="B14" s="365" t="s">
        <v>351</v>
      </c>
      <c r="C14" s="366"/>
      <c r="D14" s="624">
        <f>'TCO TO BE- SW'!F151+NPV(0.05,'TCO TO BE- SW'!F152:F160)+'TCO TO BE- SW'!F161+NPV(0.05,'TCO TO BE- SW'!F162:F170)</f>
        <v>0</v>
      </c>
      <c r="E14" s="624">
        <f>'TCO TO BE- SW'!G151+NPV(0.05,'TCO TO BE- SW'!G152:G160)+'TCO TO BE- SW'!G161+NPV(0.05,'TCO TO BE- SW'!G162:G170)</f>
        <v>0</v>
      </c>
      <c r="F14" s="624">
        <f>'TCO TO BE- SW'!H151+NPV(0.05,'TCO TO BE- SW'!H152:H160)+'TCO TO BE- SW'!H161+NPV(0.05,'TCO TO BE- SW'!H162:H170)</f>
        <v>0</v>
      </c>
      <c r="G14" s="625">
        <f>'TCO TO BE- SW'!I151+NPV(0.05,'TCO TO BE- SW'!I152:I160)+'TCO TO BE- SW'!I161+NPV(0.05,'TCO TO BE- SW'!I162:I170)</f>
        <v>0</v>
      </c>
      <c r="H14" s="624">
        <f>'TCO TO BE- SW'!M151+NPV(0.05,'TCO TO BE- SW'!M152:M160)+'TCO TO BE- SW'!M161+NPV(0.05,'TCO TO BE- SW'!M162:M170)</f>
        <v>0</v>
      </c>
      <c r="I14" s="624">
        <f>'TCO TO BE- SW'!N151+NPV(0.05,'TCO TO BE- SW'!N152:N160)+'TCO TO BE- SW'!N161+NPV(0.05,'TCO TO BE- SW'!N162:N170)</f>
        <v>0</v>
      </c>
      <c r="J14" s="625">
        <f>'TCO TO BE- SW'!O151+NPV(0.05,'TCO TO BE- SW'!O152:O160)+'TCO TO BE- SW'!O161+NPV(0.05,'TCO TO BE- SW'!O162:O170)</f>
        <v>0</v>
      </c>
      <c r="K14" s="624">
        <f>'TCO TO BE- SW'!M151+NPV(0.05,'TCO TO BE- SW'!M152:M160)+'TCO TO BE- SW'!M161+NPV(0.05,'TCO TO BE- SW'!M162:M170)</f>
        <v>0</v>
      </c>
      <c r="L14" s="550">
        <f>SUM(D14:K14)</f>
        <v>0</v>
      </c>
      <c r="P14" s="367"/>
      <c r="Q14" s="365" t="s">
        <v>351</v>
      </c>
      <c r="R14" s="366"/>
      <c r="S14" s="624">
        <f>'TCO TO BE- SW'!F150</f>
        <v>0</v>
      </c>
      <c r="T14" s="624">
        <f>'TCO TO BE- SW'!G150</f>
        <v>0</v>
      </c>
      <c r="U14" s="624">
        <f>'TCO TO BE- SW'!H150</f>
        <v>0</v>
      </c>
      <c r="V14" s="625">
        <f>'TCO TO BE- SW'!I150</f>
        <v>0</v>
      </c>
      <c r="W14" s="624">
        <f>'TCO TO BE- SW'!M150</f>
        <v>0</v>
      </c>
      <c r="X14" s="550">
        <f>SUM(S14:W14)</f>
        <v>0</v>
      </c>
    </row>
    <row r="15" spans="1:24" x14ac:dyDescent="0.25">
      <c r="A15" s="359" t="s">
        <v>220</v>
      </c>
      <c r="B15" s="360"/>
      <c r="C15" s="361"/>
      <c r="D15" s="545">
        <f t="shared" ref="D15:J15" si="5">D16+D19</f>
        <v>33379.631941376356</v>
      </c>
      <c r="E15" s="545">
        <f t="shared" si="5"/>
        <v>298729.63051602244</v>
      </c>
      <c r="F15" s="545">
        <f t="shared" si="5"/>
        <v>14141.743592360201</v>
      </c>
      <c r="G15" s="546">
        <f t="shared" si="5"/>
        <v>759075.5549202892</v>
      </c>
      <c r="H15" s="545">
        <f t="shared" si="5"/>
        <v>14141.743592360201</v>
      </c>
      <c r="I15" s="545">
        <f t="shared" si="5"/>
        <v>759075.5549202892</v>
      </c>
      <c r="J15" s="546">
        <f t="shared" si="5"/>
        <v>62743.726446454886</v>
      </c>
      <c r="K15" s="623" t="s">
        <v>227</v>
      </c>
      <c r="L15" s="547">
        <f t="shared" si="2"/>
        <v>1105326.5609700482</v>
      </c>
      <c r="P15" s="359" t="s">
        <v>220</v>
      </c>
      <c r="Q15" s="360"/>
      <c r="R15" s="361"/>
      <c r="S15" s="362">
        <f>S16+S19</f>
        <v>40577.387253639848</v>
      </c>
      <c r="T15" s="362">
        <f>T16+T19</f>
        <v>368148.42243670503</v>
      </c>
      <c r="U15" s="362">
        <f>U16+U19</f>
        <v>17330.49644613027</v>
      </c>
      <c r="V15" s="363">
        <f>V16+V19</f>
        <v>935915.82758620684</v>
      </c>
      <c r="W15" s="623" t="s">
        <v>227</v>
      </c>
      <c r="X15" s="525">
        <f t="shared" si="3"/>
        <v>1361972.133722682</v>
      </c>
    </row>
    <row r="16" spans="1:24" x14ac:dyDescent="0.25">
      <c r="A16" s="364"/>
      <c r="B16" s="365" t="s">
        <v>17</v>
      </c>
      <c r="C16" s="366"/>
      <c r="D16" s="548">
        <f t="shared" ref="D16:J16" si="6">D17+D18</f>
        <v>0</v>
      </c>
      <c r="E16" s="548">
        <f t="shared" si="6"/>
        <v>0</v>
      </c>
      <c r="F16" s="548">
        <f t="shared" si="6"/>
        <v>0</v>
      </c>
      <c r="G16" s="549">
        <f t="shared" si="6"/>
        <v>0</v>
      </c>
      <c r="H16" s="548">
        <f t="shared" si="6"/>
        <v>0</v>
      </c>
      <c r="I16" s="548">
        <f t="shared" si="6"/>
        <v>0</v>
      </c>
      <c r="J16" s="549">
        <f t="shared" si="6"/>
        <v>0</v>
      </c>
      <c r="K16" s="621" t="s">
        <v>227</v>
      </c>
      <c r="L16" s="550">
        <f t="shared" si="2"/>
        <v>0</v>
      </c>
      <c r="P16" s="364"/>
      <c r="Q16" s="365" t="s">
        <v>17</v>
      </c>
      <c r="R16" s="366"/>
      <c r="S16" s="548">
        <f>S17+S18</f>
        <v>0</v>
      </c>
      <c r="T16" s="548">
        <f>T17+T18</f>
        <v>0</v>
      </c>
      <c r="U16" s="548">
        <f>U17+U18</f>
        <v>0</v>
      </c>
      <c r="V16" s="549">
        <f>V17+V18</f>
        <v>0</v>
      </c>
      <c r="W16" s="621" t="s">
        <v>227</v>
      </c>
      <c r="X16" s="550">
        <f t="shared" si="3"/>
        <v>0</v>
      </c>
    </row>
    <row r="17" spans="1:25" x14ac:dyDescent="0.25">
      <c r="A17" s="367"/>
      <c r="B17" s="368"/>
      <c r="C17" s="369" t="s">
        <v>47</v>
      </c>
      <c r="D17" s="551">
        <f>'Parametre - Agendové IS'!I117+NPV(Faktory!$D$3,'Parametre - Agendové IS'!I118:I126)</f>
        <v>0</v>
      </c>
      <c r="E17" s="551">
        <f>'Parametre - Agendové IS'!L117+NPV(Faktory!$D$3,'Parametre - Agendové IS'!L118:L126)</f>
        <v>0</v>
      </c>
      <c r="F17" s="551">
        <f>'Parametre - Agendové IS'!O117+NPV(Faktory!$D$3,'Parametre - Agendové IS'!O118:O126)</f>
        <v>0</v>
      </c>
      <c r="G17" s="552">
        <f>'Parametre - Agendové IS'!R117+NPV(Faktory!$D$3,'Parametre - Agendové IS'!R118:R126)</f>
        <v>0</v>
      </c>
      <c r="H17" s="551">
        <f>'Parametre - Agendové IS'!O117+NPV(Faktory!$D$3,'Parametre - Agendové IS'!O118:O126)</f>
        <v>0</v>
      </c>
      <c r="I17" s="551">
        <f>'Parametre - Agendové IS'!R117+NPV(Faktory!$D$3,'Parametre - Agendové IS'!R118:R126)</f>
        <v>0</v>
      </c>
      <c r="J17" s="552">
        <f>'Parametre - Agendové IS'!U117+NPV(Faktory!$D$3,'Parametre - Agendové IS'!U118:U126)</f>
        <v>0</v>
      </c>
      <c r="K17" s="554" t="s">
        <v>227</v>
      </c>
      <c r="L17" s="553">
        <f t="shared" si="2"/>
        <v>0</v>
      </c>
      <c r="P17" s="367"/>
      <c r="Q17" s="368"/>
      <c r="R17" s="369" t="s">
        <v>47</v>
      </c>
      <c r="S17" s="551">
        <f>SUM('Parametre - Agendové IS'!I117:I126)</f>
        <v>0</v>
      </c>
      <c r="T17" s="551">
        <f>SUM('Parametre - Agendové IS'!L117:L126)</f>
        <v>0</v>
      </c>
      <c r="U17" s="551">
        <f>SUM('Parametre - Agendové IS'!O117:O126)</f>
        <v>0</v>
      </c>
      <c r="V17" s="552">
        <f>SUM('Parametre - Agendové IS'!R117:R126)</f>
        <v>0</v>
      </c>
      <c r="W17" s="554" t="s">
        <v>227</v>
      </c>
      <c r="X17" s="553">
        <f t="shared" si="3"/>
        <v>0</v>
      </c>
    </row>
    <row r="18" spans="1:25" x14ac:dyDescent="0.25">
      <c r="A18" s="367"/>
      <c r="B18" s="368"/>
      <c r="C18" s="369" t="s">
        <v>48</v>
      </c>
      <c r="D18" s="551"/>
      <c r="E18" s="551"/>
      <c r="F18" s="551"/>
      <c r="G18" s="552"/>
      <c r="H18" s="551"/>
      <c r="I18" s="551"/>
      <c r="J18" s="552"/>
      <c r="K18" s="554" t="s">
        <v>227</v>
      </c>
      <c r="L18" s="553">
        <f>'Prínosy - Agendové IS'!G15</f>
        <v>0</v>
      </c>
      <c r="M18" s="526"/>
      <c r="P18" s="367"/>
      <c r="Q18" s="368"/>
      <c r="R18" s="369" t="s">
        <v>48</v>
      </c>
      <c r="S18" s="551"/>
      <c r="T18" s="551"/>
      <c r="U18" s="551"/>
      <c r="V18" s="552"/>
      <c r="W18" s="554" t="s">
        <v>227</v>
      </c>
      <c r="X18" s="553">
        <f>'Prínosy - Agendové IS'!G14</f>
        <v>0</v>
      </c>
      <c r="Y18" s="526"/>
    </row>
    <row r="19" spans="1:25" x14ac:dyDescent="0.25">
      <c r="A19" s="364"/>
      <c r="B19" s="365" t="s">
        <v>18</v>
      </c>
      <c r="C19" s="366"/>
      <c r="D19" s="548">
        <f t="shared" ref="D19:J19" si="7">D20+D21+D23</f>
        <v>33379.631941376356</v>
      </c>
      <c r="E19" s="548">
        <f t="shared" si="7"/>
        <v>298729.63051602244</v>
      </c>
      <c r="F19" s="548">
        <f t="shared" si="7"/>
        <v>14141.743592360201</v>
      </c>
      <c r="G19" s="549">
        <f t="shared" si="7"/>
        <v>759075.5549202892</v>
      </c>
      <c r="H19" s="548">
        <f t="shared" si="7"/>
        <v>14141.743592360201</v>
      </c>
      <c r="I19" s="548">
        <f t="shared" si="7"/>
        <v>759075.5549202892</v>
      </c>
      <c r="J19" s="549">
        <f t="shared" si="7"/>
        <v>62743.726446454886</v>
      </c>
      <c r="K19" s="621" t="s">
        <v>227</v>
      </c>
      <c r="L19" s="550">
        <f>SUM(D19:G19)</f>
        <v>1105326.5609700482</v>
      </c>
      <c r="P19" s="364"/>
      <c r="Q19" s="365" t="s">
        <v>18</v>
      </c>
      <c r="R19" s="366"/>
      <c r="S19" s="548">
        <f>S20+S21+S23</f>
        <v>40577.387253639848</v>
      </c>
      <c r="T19" s="548">
        <f>T20+T21+T23</f>
        <v>368148.42243670503</v>
      </c>
      <c r="U19" s="548">
        <f>U20+U21+U23</f>
        <v>17330.49644613027</v>
      </c>
      <c r="V19" s="549">
        <f>V20+V21+V23</f>
        <v>935915.82758620684</v>
      </c>
      <c r="W19" s="621" t="s">
        <v>227</v>
      </c>
      <c r="X19" s="550">
        <f t="shared" si="3"/>
        <v>1361972.133722682</v>
      </c>
    </row>
    <row r="20" spans="1:25" x14ac:dyDescent="0.25">
      <c r="A20" s="367"/>
      <c r="B20" s="368"/>
      <c r="C20" s="369" t="s">
        <v>222</v>
      </c>
      <c r="D20" s="551">
        <f>'Parametre - Agendové IS'!I97+NPV(Faktory!$D$5,'Parametre - Agendové IS'!I98:I106)</f>
        <v>23672.231961727372</v>
      </c>
      <c r="E20" s="551">
        <f>'Parametre - Agendové IS'!L97+NPV(Faktory!$D$5,'Parametre - Agendové IS'!L98:L106)</f>
        <v>228997.72681951482</v>
      </c>
      <c r="F20" s="551">
        <f>'Parametre - Agendové IS'!O97+NPV(Faktory!$D$5,'Parametre - Agendové IS'!O98:O106)</f>
        <v>10029.069081695177</v>
      </c>
      <c r="G20" s="552">
        <f>'Parametre - Agendové IS'!R97+NPV(Faktory!$D$5,'Parametre - Agendové IS'!R98:R106)</f>
        <v>550137.29015702126</v>
      </c>
      <c r="H20" s="551">
        <f>'Parametre - Agendové IS'!O97+NPV(Faktory!$D$5,'Parametre - Agendové IS'!O98:O106)</f>
        <v>10029.069081695177</v>
      </c>
      <c r="I20" s="551">
        <f>'Parametre - Agendové IS'!R97+NPV(Faktory!$D$5,'Parametre - Agendové IS'!R98:R106)</f>
        <v>550137.29015702126</v>
      </c>
      <c r="J20" s="552">
        <f>'Parametre - Agendové IS'!U97+NPV(Faktory!$D$5,'Parametre - Agendové IS'!U98:U106)</f>
        <v>48071.148936368867</v>
      </c>
      <c r="K20" s="554" t="s">
        <v>227</v>
      </c>
      <c r="L20" s="553">
        <f>SUM(D20:G20)</f>
        <v>812836.31801995868</v>
      </c>
      <c r="P20" s="367"/>
      <c r="Q20" s="368"/>
      <c r="R20" s="369" t="s">
        <v>222</v>
      </c>
      <c r="S20" s="551">
        <f>SUM('Parametre - Agendové IS'!I97:I106)</f>
        <v>28776.75</v>
      </c>
      <c r="T20" s="551">
        <f>SUM('Parametre - Agendové IS'!L97:L106)</f>
        <v>283734.03750000003</v>
      </c>
      <c r="U20" s="551">
        <f>SUM('Parametre - Agendové IS'!O97:O106)</f>
        <v>12290.475</v>
      </c>
      <c r="V20" s="552">
        <f>SUM('Parametre - Agendové IS'!R97:R106)</f>
        <v>679875</v>
      </c>
      <c r="W20" s="554" t="s">
        <v>227</v>
      </c>
      <c r="X20" s="553">
        <f t="shared" si="3"/>
        <v>1004676.2625</v>
      </c>
    </row>
    <row r="21" spans="1:25" x14ac:dyDescent="0.25">
      <c r="A21" s="367"/>
      <c r="B21" s="368"/>
      <c r="C21" s="369" t="s">
        <v>221</v>
      </c>
      <c r="D21" s="551">
        <f>-('Parametre - Agendové IS'!I77+NPV(Faktory!$D$5,'Parametre - Agendové IS'!I78:I86))</f>
        <v>9707.3999796489843</v>
      </c>
      <c r="E21" s="551">
        <f>-('Parametre - Agendové IS'!L77+NPV(Faktory!$D$5,'Parametre - Agendové IS'!L78:L86))</f>
        <v>69731.903696507594</v>
      </c>
      <c r="F21" s="551">
        <f>-('Parametre - Agendové IS'!O77+NPV(Faktory!$D$5,'Parametre - Agendové IS'!O78:O86))</f>
        <v>4112.6745106650233</v>
      </c>
      <c r="G21" s="552">
        <f>-('Parametre - Agendové IS'!R77+NPV(Faktory!$D$5,'Parametre - Agendové IS'!R78:R86))</f>
        <v>208938.26476326797</v>
      </c>
      <c r="H21" s="551">
        <f>-('Parametre - Agendové IS'!O77+NPV(Faktory!$D$5,'Parametre - Agendové IS'!O78:O86))</f>
        <v>4112.6745106650233</v>
      </c>
      <c r="I21" s="551">
        <f>-('Parametre - Agendové IS'!R77+NPV(Faktory!$D$5,'Parametre - Agendové IS'!R78:R86))</f>
        <v>208938.26476326797</v>
      </c>
      <c r="J21" s="552">
        <f>-('Parametre - Agendové IS'!U77+NPV(Faktory!$D$5,'Parametre - Agendové IS'!U78:U86))</f>
        <v>14672.577510086021</v>
      </c>
      <c r="K21" s="554" t="s">
        <v>227</v>
      </c>
      <c r="L21" s="553">
        <f>SUM(D21:G21)</f>
        <v>292490.24295008957</v>
      </c>
      <c r="P21" s="367"/>
      <c r="Q21" s="368"/>
      <c r="R21" s="369" t="s">
        <v>221</v>
      </c>
      <c r="S21" s="551">
        <f>-(SUM('Parametre - Agendové IS'!I77:I86))</f>
        <v>11800.637253639847</v>
      </c>
      <c r="T21" s="551">
        <f>-(SUM('Parametre - Agendové IS'!L77:L86))</f>
        <v>84414.384936704999</v>
      </c>
      <c r="U21" s="551">
        <f>-(SUM('Parametre - Agendové IS'!O77:O86))</f>
        <v>5040.0214461302685</v>
      </c>
      <c r="V21" s="552">
        <f>-(SUM('Parametre - Agendové IS'!R77:R86))</f>
        <v>256040.8275862069</v>
      </c>
      <c r="W21" s="554" t="s">
        <v>227</v>
      </c>
      <c r="X21" s="553">
        <f t="shared" si="3"/>
        <v>357295.87122268201</v>
      </c>
    </row>
    <row r="22" spans="1:25" x14ac:dyDescent="0.25">
      <c r="A22" s="367"/>
      <c r="B22" s="368"/>
      <c r="C22" s="369" t="s">
        <v>223</v>
      </c>
      <c r="D22" s="554" t="s">
        <v>227</v>
      </c>
      <c r="E22" s="554" t="s">
        <v>227</v>
      </c>
      <c r="F22" s="554" t="s">
        <v>227</v>
      </c>
      <c r="G22" s="555" t="s">
        <v>227</v>
      </c>
      <c r="H22" s="554" t="s">
        <v>227</v>
      </c>
      <c r="I22" s="554" t="s">
        <v>227</v>
      </c>
      <c r="J22" s="555" t="s">
        <v>227</v>
      </c>
      <c r="K22" s="554" t="s">
        <v>227</v>
      </c>
      <c r="L22" s="556" t="s">
        <v>227</v>
      </c>
      <c r="P22" s="367"/>
      <c r="Q22" s="368"/>
      <c r="R22" s="369" t="s">
        <v>223</v>
      </c>
      <c r="S22" s="551">
        <f>SUM('Parametre - Agendové IS'!I87:I96)</f>
        <v>-0.54867724867724887</v>
      </c>
      <c r="T22" s="551">
        <f>SUM('Parametre - Agendové IS'!L87:L96)</f>
        <v>-3.9248941798941832</v>
      </c>
      <c r="U22" s="551">
        <f>SUM('Parametre - Agendové IS'!O87:O96)</f>
        <v>-0.23433862433862432</v>
      </c>
      <c r="V22" s="552">
        <f>SUM('Parametre - Agendové IS'!R87:R96)</f>
        <v>-11.904761904761905</v>
      </c>
      <c r="W22" s="554" t="s">
        <v>227</v>
      </c>
      <c r="X22" s="553">
        <f t="shared" si="3"/>
        <v>-16.612671957671964</v>
      </c>
    </row>
    <row r="23" spans="1:25" ht="15.75" thickBot="1" x14ac:dyDescent="0.3">
      <c r="A23" s="370"/>
      <c r="B23" s="371"/>
      <c r="C23" s="372" t="s">
        <v>39</v>
      </c>
      <c r="D23" s="557">
        <f>'Parametre - Agendové IS'!I127+NPV(Faktory!$D$5,'Parametre - Agendové IS'!I128:I136)</f>
        <v>0</v>
      </c>
      <c r="E23" s="557">
        <f>'Parametre - Agendové IS'!L127+NPV(Faktory!$D$5,'Parametre - Agendové IS'!L128:L136)</f>
        <v>0</v>
      </c>
      <c r="F23" s="557">
        <f>'Parametre - Agendové IS'!O127+NPV(Faktory!$D$5,'Parametre - Agendové IS'!O128:O136)</f>
        <v>0</v>
      </c>
      <c r="G23" s="558">
        <f>'Parametre - Agendové IS'!R127+NPV(Faktory!$D$5,'Parametre - Agendové IS'!R128:R136)</f>
        <v>0</v>
      </c>
      <c r="H23" s="557">
        <f>'Parametre - Agendové IS'!O127+NPV(Faktory!$D$5,'Parametre - Agendové IS'!O128:O136)</f>
        <v>0</v>
      </c>
      <c r="I23" s="557">
        <f>'Parametre - Agendové IS'!R127+NPV(Faktory!$D$5,'Parametre - Agendové IS'!R128:R136)</f>
        <v>0</v>
      </c>
      <c r="J23" s="558">
        <f>'Parametre - Agendové IS'!U127+NPV(Faktory!$D$5,'Parametre - Agendové IS'!U128:U136)</f>
        <v>0</v>
      </c>
      <c r="K23" s="622" t="s">
        <v>227</v>
      </c>
      <c r="L23" s="559">
        <f>SUM(D23:G23)</f>
        <v>0</v>
      </c>
      <c r="P23" s="367"/>
      <c r="Q23" s="368"/>
      <c r="R23" s="369" t="s">
        <v>39</v>
      </c>
      <c r="S23" s="551">
        <f>SUM('Parametre - Agendové IS'!I127:I136)</f>
        <v>0</v>
      </c>
      <c r="T23" s="551">
        <f>SUM('Parametre - Agendové IS'!L127:L136)</f>
        <v>0</v>
      </c>
      <c r="U23" s="551">
        <f>SUM('Parametre - Agendové IS'!O127:O136)</f>
        <v>0</v>
      </c>
      <c r="V23" s="552">
        <f>SUM('Parametre - Agendové IS'!R127:R136)</f>
        <v>0</v>
      </c>
      <c r="W23" s="622" t="s">
        <v>227</v>
      </c>
      <c r="X23" s="560">
        <f t="shared" si="3"/>
        <v>0</v>
      </c>
    </row>
    <row r="24" spans="1:25" x14ac:dyDescent="0.25">
      <c r="A24" s="527"/>
      <c r="B24" s="365" t="s">
        <v>228</v>
      </c>
      <c r="C24" s="366"/>
      <c r="D24" s="619"/>
      <c r="E24" s="620"/>
      <c r="F24" s="620"/>
      <c r="G24" s="620"/>
      <c r="H24" s="620"/>
      <c r="I24" s="620"/>
      <c r="J24" s="620"/>
      <c r="K24" s="626"/>
      <c r="L24" s="627"/>
      <c r="P24" s="527"/>
      <c r="Q24" s="365" t="s">
        <v>228</v>
      </c>
      <c r="R24" s="366"/>
      <c r="S24" s="619"/>
      <c r="T24" s="620"/>
      <c r="U24" s="620"/>
      <c r="V24" s="620"/>
      <c r="W24" s="626"/>
      <c r="X24" s="627"/>
    </row>
    <row r="25" spans="1:25" x14ac:dyDescent="0.25">
      <c r="A25" s="528"/>
      <c r="B25" s="529"/>
      <c r="C25" s="530" t="s">
        <v>232</v>
      </c>
      <c r="D25" s="531"/>
      <c r="E25" s="531"/>
      <c r="F25" s="531"/>
      <c r="G25" s="531"/>
      <c r="H25" s="531"/>
      <c r="I25" s="531"/>
      <c r="J25" s="531"/>
      <c r="K25" s="531"/>
      <c r="L25" s="531"/>
      <c r="P25" s="528"/>
      <c r="Q25" s="529"/>
      <c r="R25" s="530" t="s">
        <v>232</v>
      </c>
      <c r="S25" s="531"/>
      <c r="T25" s="531"/>
      <c r="U25" s="531"/>
      <c r="V25" s="531"/>
      <c r="W25" s="531"/>
      <c r="X25" s="531"/>
    </row>
    <row r="26" spans="1:25" x14ac:dyDescent="0.25">
      <c r="A26" s="528"/>
      <c r="B26" s="529"/>
      <c r="C26" s="532" t="s">
        <v>229</v>
      </c>
      <c r="D26" s="531"/>
      <c r="E26" s="531"/>
      <c r="F26" s="531"/>
      <c r="G26" s="531"/>
      <c r="H26" s="531"/>
      <c r="I26" s="531"/>
      <c r="J26" s="531"/>
      <c r="K26" s="531"/>
      <c r="L26" s="531"/>
      <c r="P26" s="528"/>
      <c r="Q26" s="529"/>
      <c r="R26" s="532" t="s">
        <v>229</v>
      </c>
      <c r="S26" s="531"/>
      <c r="T26" s="531"/>
      <c r="U26" s="531"/>
      <c r="V26" s="531"/>
      <c r="W26" s="531"/>
      <c r="X26" s="531"/>
    </row>
    <row r="27" spans="1:25" x14ac:dyDescent="0.25">
      <c r="A27" s="528"/>
      <c r="B27" s="529"/>
      <c r="C27" s="532" t="s">
        <v>229</v>
      </c>
      <c r="D27" s="531"/>
      <c r="E27" s="531"/>
      <c r="F27" s="531"/>
      <c r="G27" s="531"/>
      <c r="H27" s="531"/>
      <c r="I27" s="531"/>
      <c r="J27" s="531"/>
      <c r="K27" s="531"/>
      <c r="L27" s="531"/>
      <c r="P27" s="528"/>
      <c r="Q27" s="529"/>
      <c r="R27" s="532" t="s">
        <v>229</v>
      </c>
      <c r="S27" s="531"/>
      <c r="T27" s="531"/>
      <c r="U27" s="531"/>
      <c r="V27" s="531"/>
      <c r="W27" s="531"/>
      <c r="X27" s="531"/>
    </row>
    <row r="28" spans="1:25" x14ac:dyDescent="0.25">
      <c r="C28" s="533"/>
      <c r="R28" s="533"/>
    </row>
    <row r="29" spans="1:25" x14ac:dyDescent="0.25">
      <c r="C29" s="533"/>
      <c r="R29" s="533"/>
    </row>
    <row r="30" spans="1:25" x14ac:dyDescent="0.25">
      <c r="C30" s="533"/>
    </row>
    <row r="32" spans="1:25" x14ac:dyDescent="0.25">
      <c r="O32" s="534"/>
      <c r="P32" s="534"/>
    </row>
  </sheetData>
  <sheetProtection insertColumns="0" insertRows="0" deleteColumns="0" deleteRows="0"/>
  <mergeCells count="4">
    <mergeCell ref="P1:R1"/>
    <mergeCell ref="A1:C1"/>
    <mergeCell ref="P2:R2"/>
    <mergeCell ref="A2:C2"/>
  </mergeCells>
  <pageMargins left="0.7" right="0.7" top="0.75" bottom="0.75" header="0.3" footer="0.3"/>
  <pageSetup paperSize="9" scale="26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="120" zoomScaleNormal="100" zoomScaleSheetLayoutView="120" workbookViewId="0">
      <selection activeCell="L13" sqref="L13"/>
    </sheetView>
  </sheetViews>
  <sheetFormatPr defaultColWidth="8.85546875" defaultRowHeight="15" x14ac:dyDescent="0.25"/>
  <cols>
    <col min="1" max="1" width="9.28515625" customWidth="1"/>
    <col min="2" max="2" width="18.7109375" bestFit="1" customWidth="1"/>
    <col min="3" max="3" width="15.140625" customWidth="1"/>
    <col min="4" max="4" width="18" bestFit="1" customWidth="1"/>
    <col min="5" max="5" width="18.7109375" bestFit="1" customWidth="1"/>
    <col min="6" max="6" width="15.140625" customWidth="1"/>
    <col min="7" max="7" width="18" bestFit="1" customWidth="1"/>
    <col min="8" max="8" width="9.85546875" customWidth="1"/>
    <col min="9" max="9" width="22.7109375" customWidth="1"/>
    <col min="10" max="10" width="22.140625" customWidth="1"/>
    <col min="11" max="11" width="20.42578125" customWidth="1"/>
    <col min="12" max="12" width="23.140625" customWidth="1"/>
  </cols>
  <sheetData>
    <row r="1" spans="1:12" ht="15.75" thickBot="1" x14ac:dyDescent="0.3">
      <c r="A1" s="9"/>
      <c r="B1" s="694" t="s">
        <v>36</v>
      </c>
      <c r="C1" s="695"/>
      <c r="D1" s="695"/>
      <c r="E1" s="695"/>
      <c r="F1" s="695"/>
      <c r="G1" s="696"/>
      <c r="H1" s="697" t="s">
        <v>16</v>
      </c>
      <c r="I1" s="698"/>
      <c r="J1" s="698"/>
      <c r="K1" s="698"/>
      <c r="L1" s="699"/>
    </row>
    <row r="2" spans="1:12" ht="30" x14ac:dyDescent="0.25">
      <c r="A2" s="10"/>
      <c r="B2" s="697" t="s">
        <v>365</v>
      </c>
      <c r="C2" s="698"/>
      <c r="D2" s="699"/>
      <c r="E2" s="697" t="s">
        <v>366</v>
      </c>
      <c r="F2" s="698"/>
      <c r="G2" s="699"/>
      <c r="H2" s="55" t="s">
        <v>19</v>
      </c>
      <c r="I2" s="50" t="s">
        <v>20</v>
      </c>
      <c r="J2" s="12" t="s">
        <v>21</v>
      </c>
      <c r="K2" s="700" t="s">
        <v>22</v>
      </c>
      <c r="L2" s="701"/>
    </row>
    <row r="3" spans="1:12" ht="15.75" thickBot="1" x14ac:dyDescent="0.3">
      <c r="A3" s="11" t="s">
        <v>23</v>
      </c>
      <c r="B3" s="14" t="s">
        <v>234</v>
      </c>
      <c r="C3" s="15" t="s">
        <v>173</v>
      </c>
      <c r="D3" s="16" t="s">
        <v>24</v>
      </c>
      <c r="E3" s="14" t="s">
        <v>234</v>
      </c>
      <c r="F3" s="15" t="s">
        <v>173</v>
      </c>
      <c r="G3" s="16" t="s">
        <v>24</v>
      </c>
      <c r="H3" s="56"/>
      <c r="I3" s="51"/>
      <c r="J3" s="13"/>
      <c r="K3" s="692"/>
      <c r="L3" s="693"/>
    </row>
    <row r="4" spans="1:12" x14ac:dyDescent="0.25">
      <c r="A4" s="49" t="s">
        <v>25</v>
      </c>
      <c r="B4" s="27">
        <f>'Prínosy - Agendové IS'!Q4-'Výdavky - Agendové IS'!T4</f>
        <v>-302131</v>
      </c>
      <c r="C4" s="26">
        <f>'Prínosy - Agendové IS'!R4-'Výdavky - Agendové IS'!U4</f>
        <v>-1078830.96</v>
      </c>
      <c r="D4" s="34">
        <f>C4-B4</f>
        <v>-776699.96</v>
      </c>
      <c r="E4" s="27">
        <f>'Prínosy - Agendové IS'!T4-('Výdavky - Agendové IS'!T4/1.2)</f>
        <v>-351921.93569655175</v>
      </c>
      <c r="F4" s="27">
        <f>'Prínosy - Agendové IS'!U4-('Výdavky - Agendové IS'!U4/1.2)</f>
        <v>-861427.91141793109</v>
      </c>
      <c r="G4" s="34">
        <f t="shared" ref="G4:G13" si="0">F4-E4</f>
        <v>-509505.97572137933</v>
      </c>
      <c r="H4" s="57">
        <v>0</v>
      </c>
      <c r="I4" s="52">
        <f>D4*(1/(1+Faktory!$D$3)^H4)</f>
        <v>-776699.96</v>
      </c>
      <c r="J4" s="59">
        <f>G4*(1/(1+Faktory!$D$5)^H4)</f>
        <v>-509505.97572137933</v>
      </c>
      <c r="K4" s="58">
        <f>J4</f>
        <v>-509505.97572137933</v>
      </c>
      <c r="L4" s="31" t="str">
        <f>IF(K4&gt;0,"Rok návratu investície","&lt;")</f>
        <v>&lt;</v>
      </c>
    </row>
    <row r="5" spans="1:12" x14ac:dyDescent="0.25">
      <c r="A5" s="33" t="s">
        <v>26</v>
      </c>
      <c r="B5" s="27">
        <f>'Prínosy - Agendové IS'!Q5-'Výdavky - Agendové IS'!T5</f>
        <v>-302043.98486430064</v>
      </c>
      <c r="C5" s="26">
        <f>'Prínosy - Agendové IS'!R5-'Výdavky - Agendové IS'!U5</f>
        <v>-1652662.06</v>
      </c>
      <c r="D5" s="29">
        <f t="shared" ref="D5:D13" si="1">C5-B5</f>
        <v>-1350618.0751356995</v>
      </c>
      <c r="E5" s="27">
        <f>'Prínosy - Agendové IS'!T5-('Výdavky - Agendové IS'!T5/1.2)</f>
        <v>-351681.57409649575</v>
      </c>
      <c r="F5" s="27">
        <f>'Prínosy - Agendové IS'!U5-('Výdavky - Agendové IS'!U5/1.2)</f>
        <v>-1339867.8265758622</v>
      </c>
      <c r="G5" s="29">
        <f t="shared" si="0"/>
        <v>-988186.25247936649</v>
      </c>
      <c r="H5" s="57">
        <v>1</v>
      </c>
      <c r="I5" s="53">
        <f>D5*(1/(1+Faktory!$D$3)^H5)</f>
        <v>-1298671.2260920187</v>
      </c>
      <c r="J5" s="60">
        <f>G5*(1/(1+Faktory!$D$5)^H5)</f>
        <v>-941129.76426606323</v>
      </c>
      <c r="K5" s="58">
        <f>J5+K4</f>
        <v>-1450635.7399874425</v>
      </c>
      <c r="L5" s="31" t="str">
        <f>IF(L4="&lt;",IF(K5&gt;0,"Rok návratu investície","&lt;"),"&gt;")</f>
        <v>&lt;</v>
      </c>
    </row>
    <row r="6" spans="1:12" x14ac:dyDescent="0.25">
      <c r="A6" s="33" t="s">
        <v>27</v>
      </c>
      <c r="B6" s="27">
        <f>'Prínosy - Agendové IS'!Q6-'Výdavky - Agendové IS'!T6</f>
        <v>-302029.24582463468</v>
      </c>
      <c r="C6" s="26">
        <f>'Prínosy - Agendové IS'!R6-'Výdavky - Agendové IS'!U6</f>
        <v>-396710.66000000003</v>
      </c>
      <c r="D6" s="29">
        <f t="shared" si="1"/>
        <v>-94681.414175365353</v>
      </c>
      <c r="E6" s="27">
        <f>'Prínosy - Agendové IS'!T6-('Výdavky - Agendové IS'!T6/1.2)</f>
        <v>-351640.84258259786</v>
      </c>
      <c r="F6" s="27">
        <f>'Prínosy - Agendové IS'!U6-('Výdavky - Agendové IS'!U6/1.2)</f>
        <v>-293507.89160114946</v>
      </c>
      <c r="G6" s="29">
        <f t="shared" si="0"/>
        <v>58132.950981448404</v>
      </c>
      <c r="H6" s="57">
        <v>2</v>
      </c>
      <c r="I6" s="53">
        <f>D6*(1/(1+Faktory!$D$3)^H6)</f>
        <v>-87538.289733141035</v>
      </c>
      <c r="J6" s="60">
        <f>G6*(1/(1+Faktory!$D$5)^H6)</f>
        <v>52728.300209930523</v>
      </c>
      <c r="K6" s="58">
        <f t="shared" ref="K6:K13" si="2">J6+K5</f>
        <v>-1397907.4397775119</v>
      </c>
      <c r="L6" s="31" t="str">
        <f t="shared" ref="L6:L13" si="3">IF(L5="&lt;",IF(K6&gt;0,"Rok návratu investície","&lt;"),"&gt;")</f>
        <v>&lt;</v>
      </c>
    </row>
    <row r="7" spans="1:12" x14ac:dyDescent="0.25">
      <c r="A7" s="33" t="s">
        <v>28</v>
      </c>
      <c r="B7" s="27">
        <f>'Prínosy - Agendové IS'!Q7-'Výdavky - Agendové IS'!T7</f>
        <v>-301940.75678496866</v>
      </c>
      <c r="C7" s="26">
        <f>'Prínosy - Agendové IS'!R7-'Výdavky - Agendové IS'!U7</f>
        <v>-140000</v>
      </c>
      <c r="D7" s="29">
        <f t="shared" si="1"/>
        <v>161940.75678496866</v>
      </c>
      <c r="E7" s="27">
        <f>'Prínosy - Agendové IS'!T7-('Výdavky - Agendové IS'!T7/1.2)</f>
        <v>-351396.40783115209</v>
      </c>
      <c r="F7" s="27">
        <f>'Prínosy - Agendové IS'!U7-('Výdavky - Agendové IS'!U7/1.2)</f>
        <v>-79774.200810344832</v>
      </c>
      <c r="G7" s="29">
        <f t="shared" si="0"/>
        <v>271622.20702080725</v>
      </c>
      <c r="H7" s="57">
        <v>3</v>
      </c>
      <c r="I7" s="53">
        <f>D7*(1/(1+Faktory!$D$3)^H7)</f>
        <v>143964.7431022494</v>
      </c>
      <c r="J7" s="60">
        <f>G7*(1/(1+Faktory!$D$5)^H7)</f>
        <v>234637.47502067356</v>
      </c>
      <c r="K7" s="58">
        <f t="shared" si="2"/>
        <v>-1163269.9647568383</v>
      </c>
      <c r="L7" s="31" t="str">
        <f t="shared" si="3"/>
        <v>&lt;</v>
      </c>
    </row>
    <row r="8" spans="1:12" x14ac:dyDescent="0.25">
      <c r="A8" s="33" t="s">
        <v>29</v>
      </c>
      <c r="B8" s="27">
        <f>'Prínosy - Agendové IS'!Q8-'Výdavky - Agendové IS'!T8</f>
        <v>-301940.75678496866</v>
      </c>
      <c r="C8" s="26">
        <f>'Prínosy - Agendové IS'!R8-'Výdavky - Agendové IS'!U8</f>
        <v>-140000</v>
      </c>
      <c r="D8" s="29">
        <f t="shared" si="1"/>
        <v>161940.75678496866</v>
      </c>
      <c r="E8" s="27">
        <f>'Prínosy - Agendové IS'!T8-('Výdavky - Agendové IS'!T8/1.2)</f>
        <v>-351396.40783115209</v>
      </c>
      <c r="F8" s="27">
        <f>'Prínosy - Agendové IS'!U8-('Výdavky - Agendové IS'!U8/1.2)</f>
        <v>-79997.808005747123</v>
      </c>
      <c r="G8" s="29">
        <f t="shared" si="0"/>
        <v>271398.59982540493</v>
      </c>
      <c r="H8" s="57">
        <v>4</v>
      </c>
      <c r="I8" s="53">
        <f>D8*(1/(1+Faktory!$D$3)^H8)</f>
        <v>138427.63759831671</v>
      </c>
      <c r="J8" s="60">
        <f>G8*(1/(1+Faktory!$D$5)^H8)</f>
        <v>223280.29973141226</v>
      </c>
      <c r="K8" s="58">
        <f t="shared" si="2"/>
        <v>-939989.66502542607</v>
      </c>
      <c r="L8" s="31" t="str">
        <f t="shared" si="3"/>
        <v>&lt;</v>
      </c>
    </row>
    <row r="9" spans="1:12" x14ac:dyDescent="0.25">
      <c r="A9" s="33" t="s">
        <v>30</v>
      </c>
      <c r="B9" s="27">
        <f>'Prínosy - Agendové IS'!Q9-'Výdavky - Agendové IS'!T9</f>
        <v>-301793.27870563674</v>
      </c>
      <c r="C9" s="26">
        <f>'Prínosy - Agendové IS'!R9-'Výdavky - Agendové IS'!U9</f>
        <v>-140000</v>
      </c>
      <c r="D9" s="29">
        <f t="shared" si="1"/>
        <v>161793.27870563674</v>
      </c>
      <c r="E9" s="27">
        <f>'Prínosy - Agendové IS'!T9-('Výdavky - Agendové IS'!T9/1.2)</f>
        <v>-350989.01962327969</v>
      </c>
      <c r="F9" s="27">
        <f>'Prínosy - Agendové IS'!U9-('Výdavky - Agendové IS'!U9/1.2)</f>
        <v>-80168.501890804604</v>
      </c>
      <c r="G9" s="29">
        <f t="shared" si="0"/>
        <v>270820.51773247507</v>
      </c>
      <c r="H9" s="57">
        <v>5</v>
      </c>
      <c r="I9" s="53">
        <f>D9*(1/(1+Faktory!$D$3)^H9)</f>
        <v>132982.28145963341</v>
      </c>
      <c r="J9" s="60">
        <f>G9*(1/(1+Faktory!$D$5)^H9)</f>
        <v>212194.9620599295</v>
      </c>
      <c r="K9" s="58">
        <f t="shared" si="2"/>
        <v>-727794.70296549657</v>
      </c>
      <c r="L9" s="31" t="str">
        <f t="shared" si="3"/>
        <v>&lt;</v>
      </c>
    </row>
    <row r="10" spans="1:12" x14ac:dyDescent="0.25">
      <c r="A10" s="33" t="s">
        <v>31</v>
      </c>
      <c r="B10" s="27">
        <f>'Prínosy - Agendové IS'!Q10-'Výdavky - Agendové IS'!T10</f>
        <v>-301690.02870563674</v>
      </c>
      <c r="C10" s="26">
        <f>'Prínosy - Agendové IS'!R10-'Výdavky - Agendové IS'!U10</f>
        <v>-140000</v>
      </c>
      <c r="D10" s="29">
        <f t="shared" si="1"/>
        <v>161690.02870563674</v>
      </c>
      <c r="E10" s="27">
        <f>'Prínosy - Agendové IS'!T10-('Výdavky - Agendové IS'!T10/1.2)</f>
        <v>-350703.83509071264</v>
      </c>
      <c r="F10" s="27">
        <f>'Prínosy - Agendové IS'!U10-('Výdavky - Agendové IS'!U10/1.2)</f>
        <v>-80479.650920689659</v>
      </c>
      <c r="G10" s="29">
        <f t="shared" si="0"/>
        <v>270224.18417002296</v>
      </c>
      <c r="H10" s="57">
        <v>6</v>
      </c>
      <c r="I10" s="53">
        <f>D10*(1/(1+Faktory!$D$3)^H10)</f>
        <v>127785.97835178894</v>
      </c>
      <c r="J10" s="60">
        <f>G10*(1/(1+Faktory!$D$5)^H10)</f>
        <v>201645.4467712428</v>
      </c>
      <c r="K10" s="58">
        <f t="shared" si="2"/>
        <v>-526149.2561942538</v>
      </c>
      <c r="L10" s="31" t="str">
        <f t="shared" si="3"/>
        <v>&lt;</v>
      </c>
    </row>
    <row r="11" spans="1:12" x14ac:dyDescent="0.25">
      <c r="A11" s="33" t="s">
        <v>32</v>
      </c>
      <c r="B11" s="27">
        <f>'Prínosy - Agendové IS'!Q11-'Výdavky - Agendové IS'!T11</f>
        <v>-301601.53966597078</v>
      </c>
      <c r="C11" s="26">
        <f>'Prínosy - Agendové IS'!R11-'Výdavky - Agendové IS'!U11</f>
        <v>-140000</v>
      </c>
      <c r="D11" s="29">
        <f t="shared" si="1"/>
        <v>161601.53966597078</v>
      </c>
      <c r="E11" s="27">
        <f>'Prínosy - Agendové IS'!T11-('Výdavky - Agendové IS'!T11/1.2)</f>
        <v>-350459.40033926687</v>
      </c>
      <c r="F11" s="27">
        <f>'Prínosy - Agendové IS'!U11-('Výdavky - Agendové IS'!U11/1.2)</f>
        <v>-80562.900920689659</v>
      </c>
      <c r="G11" s="29">
        <f t="shared" si="0"/>
        <v>269896.49941857718</v>
      </c>
      <c r="H11" s="57">
        <v>7</v>
      </c>
      <c r="I11" s="53">
        <f>D11*(1/(1+Faktory!$D$3)^H11)</f>
        <v>122803.888633051</v>
      </c>
      <c r="J11" s="60">
        <f>G11*(1/(1+Faktory!$D$5)^H11)</f>
        <v>191810.40320425798</v>
      </c>
      <c r="K11" s="58">
        <f t="shared" si="2"/>
        <v>-334338.85298999585</v>
      </c>
      <c r="L11" s="31" t="str">
        <f t="shared" si="3"/>
        <v>&lt;</v>
      </c>
    </row>
    <row r="12" spans="1:12" x14ac:dyDescent="0.25">
      <c r="A12" s="33" t="s">
        <v>33</v>
      </c>
      <c r="B12" s="27">
        <f>'Prínosy - Agendové IS'!Q12-'Výdavky - Agendové IS'!T12</f>
        <v>-301601.53966597078</v>
      </c>
      <c r="C12" s="26">
        <f>'Prínosy - Agendové IS'!R12-'Výdavky - Agendové IS'!U12</f>
        <v>-140000</v>
      </c>
      <c r="D12" s="29">
        <f t="shared" si="1"/>
        <v>161601.53966597078</v>
      </c>
      <c r="E12" s="27">
        <f>'Prínosy - Agendové IS'!T12-('Výdavky - Agendové IS'!T12/1.2)</f>
        <v>-350459.40033926687</v>
      </c>
      <c r="F12" s="27">
        <f>'Prínosy - Agendové IS'!U12-('Výdavky - Agendové IS'!U12/1.2)</f>
        <v>-80754.564231034485</v>
      </c>
      <c r="G12" s="29">
        <f t="shared" si="0"/>
        <v>269704.83610823238</v>
      </c>
      <c r="H12" s="57">
        <v>8</v>
      </c>
      <c r="I12" s="53">
        <f>D12*(1/(1+Faktory!$D$3)^H12)</f>
        <v>118080.6621471644</v>
      </c>
      <c r="J12" s="60">
        <f>G12*(1/(1+Faktory!$D$5)^H12)</f>
        <v>182546.84920754764</v>
      </c>
      <c r="K12" s="58">
        <f t="shared" si="2"/>
        <v>-151792.00378244821</v>
      </c>
      <c r="L12" s="31" t="str">
        <f t="shared" si="3"/>
        <v>&lt;</v>
      </c>
    </row>
    <row r="13" spans="1:12" ht="15.75" thickBot="1" x14ac:dyDescent="0.3">
      <c r="A13" s="33" t="s">
        <v>34</v>
      </c>
      <c r="B13" s="48">
        <f>'Prínosy - Agendové IS'!Q13-'Výdavky - Agendové IS'!T13</f>
        <v>-301601.53966597078</v>
      </c>
      <c r="C13" s="44">
        <f>'Prínosy - Agendové IS'!R13-'Výdavky - Agendové IS'!U13</f>
        <v>-140000</v>
      </c>
      <c r="D13" s="35">
        <f t="shared" si="1"/>
        <v>161601.53966597078</v>
      </c>
      <c r="E13" s="27">
        <f>'Prínosy - Agendové IS'!T13-('Výdavky - Agendové IS'!T13/1.2)</f>
        <v>-350459.40033926687</v>
      </c>
      <c r="F13" s="27">
        <f>'Prínosy - Agendové IS'!U13-('Výdavky - Agendové IS'!U13/1.2)</f>
        <v>-80786.508116091965</v>
      </c>
      <c r="G13" s="35">
        <f t="shared" si="0"/>
        <v>269672.89222317492</v>
      </c>
      <c r="H13" s="57">
        <v>9</v>
      </c>
      <c r="I13" s="54">
        <f>D13*(1/(1+Faktory!$D$3)^H13)</f>
        <v>113539.09821842729</v>
      </c>
      <c r="J13" s="61">
        <f>G13*(1/(1+Faktory!$D$5)^H13)</f>
        <v>173833.55078929962</v>
      </c>
      <c r="K13" s="58">
        <f t="shared" si="2"/>
        <v>22041.547006851411</v>
      </c>
      <c r="L13" s="31" t="str">
        <f t="shared" si="3"/>
        <v>Rok návratu investície</v>
      </c>
    </row>
    <row r="14" spans="1:12" ht="15.75" thickBot="1" x14ac:dyDescent="0.3">
      <c r="A14" s="63" t="s">
        <v>35</v>
      </c>
      <c r="B14" s="45">
        <f t="shared" ref="B14:G14" si="4">SUM(B4:B13)</f>
        <v>-3018373.670668059</v>
      </c>
      <c r="C14" s="46">
        <f t="shared" si="4"/>
        <v>-4108203.68</v>
      </c>
      <c r="D14" s="46">
        <f t="shared" si="4"/>
        <v>-1089830.0093319418</v>
      </c>
      <c r="E14" s="46">
        <f t="shared" si="4"/>
        <v>-3511108.2237697421</v>
      </c>
      <c r="F14" s="46">
        <f t="shared" si="4"/>
        <v>-3057327.764490345</v>
      </c>
      <c r="G14" s="47">
        <f t="shared" si="4"/>
        <v>453780.45927939739</v>
      </c>
      <c r="H14" s="64" t="s">
        <v>35</v>
      </c>
      <c r="I14" s="195">
        <f>SUM(I4:I13)</f>
        <v>-1265325.1863145286</v>
      </c>
      <c r="J14" s="196">
        <f>SUM(J4:J13)</f>
        <v>22041.547006851411</v>
      </c>
      <c r="K14" s="7"/>
      <c r="L14" s="7"/>
    </row>
    <row r="16" spans="1:12" ht="15.75" thickBot="1" x14ac:dyDescent="0.3">
      <c r="H16" s="108" t="s">
        <v>186</v>
      </c>
      <c r="J16" s="206" t="s">
        <v>175</v>
      </c>
      <c r="K16" s="206" t="s">
        <v>184</v>
      </c>
    </row>
    <row r="17" spans="5:11" s="147" customFormat="1" ht="15.75" thickBot="1" x14ac:dyDescent="0.25">
      <c r="H17" s="200" t="s">
        <v>122</v>
      </c>
      <c r="I17" s="202" t="s">
        <v>181</v>
      </c>
      <c r="J17" s="203">
        <f>'Prínosy - Agendové IS'!V15/('Výdavky - Agendové IS'!V15/1.2)</f>
        <v>1.0203469509157261</v>
      </c>
      <c r="K17" s="207">
        <v>1</v>
      </c>
    </row>
    <row r="18" spans="5:11" s="147" customFormat="1" ht="23.25" thickBot="1" x14ac:dyDescent="0.25">
      <c r="H18" s="201" t="s">
        <v>178</v>
      </c>
      <c r="I18" s="202" t="s">
        <v>182</v>
      </c>
      <c r="J18" s="204" t="s">
        <v>358</v>
      </c>
      <c r="K18" s="208" t="s">
        <v>185</v>
      </c>
    </row>
    <row r="19" spans="5:11" s="147" customFormat="1" ht="23.25" thickBot="1" x14ac:dyDescent="0.25">
      <c r="E19" s="197"/>
      <c r="H19" s="201" t="s">
        <v>179</v>
      </c>
      <c r="I19" s="202" t="s">
        <v>183</v>
      </c>
      <c r="J19" s="204">
        <f>IRR($G$4:$G$13,0.01)</f>
        <v>5.3166020545138082E-2</v>
      </c>
      <c r="K19" s="208">
        <v>0.05</v>
      </c>
    </row>
    <row r="20" spans="5:11" ht="15.75" thickBot="1" x14ac:dyDescent="0.3">
      <c r="H20" s="198"/>
      <c r="I20" s="199"/>
      <c r="J20" s="198"/>
      <c r="K20" s="209"/>
    </row>
    <row r="21" spans="5:11" s="147" customFormat="1" ht="23.25" thickBot="1" x14ac:dyDescent="0.25">
      <c r="H21" s="201" t="s">
        <v>180</v>
      </c>
      <c r="I21" s="202" t="s">
        <v>369</v>
      </c>
      <c r="J21" s="205">
        <f>I14</f>
        <v>-1265325.1863145286</v>
      </c>
      <c r="K21" s="210" t="s">
        <v>185</v>
      </c>
    </row>
    <row r="22" spans="5:11" s="147" customFormat="1" ht="23.25" thickBot="1" x14ac:dyDescent="0.25">
      <c r="H22" s="201" t="s">
        <v>71</v>
      </c>
      <c r="I22" s="202" t="s">
        <v>368</v>
      </c>
      <c r="J22" s="205">
        <f>J14</f>
        <v>22041.547006851411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zoomScale="60" zoomScaleNormal="80" workbookViewId="0"/>
  </sheetViews>
  <sheetFormatPr defaultColWidth="8.85546875" defaultRowHeight="15" x14ac:dyDescent="0.25"/>
  <cols>
    <col min="1" max="1" width="7.85546875" style="62" customWidth="1"/>
    <col min="2" max="2" width="12.7109375" style="62" customWidth="1"/>
    <col min="3" max="3" width="14" style="62" customWidth="1"/>
    <col min="4" max="4" width="9.42578125" style="62" customWidth="1"/>
    <col min="5" max="5" width="11.85546875" style="62" customWidth="1"/>
    <col min="6" max="6" width="11.7109375" style="62" customWidth="1"/>
    <col min="7" max="7" width="9.7109375" customWidth="1"/>
    <col min="8" max="8" width="11.42578125" customWidth="1"/>
    <col min="9" max="9" width="10.85546875" customWidth="1"/>
    <col min="10" max="10" width="9.42578125" customWidth="1"/>
    <col min="11" max="11" width="12.7109375" customWidth="1"/>
    <col min="12" max="12" width="11.42578125" customWidth="1"/>
    <col min="13" max="13" width="10.42578125" customWidth="1"/>
    <col min="14" max="14" width="13.28515625" customWidth="1"/>
    <col min="15" max="15" width="11.28515625" customWidth="1"/>
    <col min="16" max="16" width="9.7109375" customWidth="1"/>
    <col min="17" max="17" width="14.7109375" customWidth="1"/>
    <col min="18" max="18" width="15.7109375" customWidth="1"/>
  </cols>
  <sheetData>
    <row r="2" spans="1:18" x14ac:dyDescent="0.25">
      <c r="A2" s="238" t="s">
        <v>122</v>
      </c>
      <c r="B2" s="239">
        <f>'CBA - Agendové IS'!J17</f>
        <v>1.0203469509157261</v>
      </c>
    </row>
    <row r="4" spans="1:18" x14ac:dyDescent="0.25">
      <c r="A4" s="229"/>
    </row>
    <row r="5" spans="1:18" ht="30" customHeight="1" x14ac:dyDescent="0.25">
      <c r="A5" s="229"/>
      <c r="B5" s="710" t="s">
        <v>205</v>
      </c>
      <c r="C5" s="711"/>
      <c r="D5" s="247"/>
      <c r="E5" s="710" t="s">
        <v>206</v>
      </c>
      <c r="F5" s="711"/>
      <c r="H5" s="708" t="s">
        <v>201</v>
      </c>
      <c r="I5" s="709"/>
      <c r="J5" s="62"/>
      <c r="K5" s="710" t="s">
        <v>204</v>
      </c>
      <c r="L5" s="711"/>
      <c r="N5" s="708" t="s">
        <v>202</v>
      </c>
      <c r="O5" s="709"/>
      <c r="Q5" s="708" t="s">
        <v>203</v>
      </c>
      <c r="R5" s="709"/>
    </row>
    <row r="6" spans="1:18" x14ac:dyDescent="0.25">
      <c r="A6" s="229"/>
      <c r="B6" s="242" t="s">
        <v>12</v>
      </c>
      <c r="C6" s="241" t="s">
        <v>122</v>
      </c>
      <c r="D6" s="248"/>
      <c r="E6" s="242" t="s">
        <v>12</v>
      </c>
      <c r="F6" s="241" t="s">
        <v>122</v>
      </c>
      <c r="H6" s="242" t="s">
        <v>12</v>
      </c>
      <c r="I6" s="241" t="s">
        <v>122</v>
      </c>
      <c r="J6" s="62"/>
      <c r="K6" s="242" t="s">
        <v>12</v>
      </c>
      <c r="L6" s="241" t="s">
        <v>122</v>
      </c>
      <c r="N6" s="243" t="s">
        <v>12</v>
      </c>
      <c r="O6" s="244" t="s">
        <v>122</v>
      </c>
      <c r="Q6" s="243" t="s">
        <v>12</v>
      </c>
      <c r="R6" s="244" t="s">
        <v>122</v>
      </c>
    </row>
    <row r="7" spans="1:18" ht="15" customHeight="1" x14ac:dyDescent="0.25">
      <c r="A7" s="229"/>
      <c r="B7" s="234">
        <v>0</v>
      </c>
      <c r="C7" s="225">
        <f>B2</f>
        <v>1.0203469509157261</v>
      </c>
      <c r="D7" s="245"/>
      <c r="E7" s="234">
        <v>0</v>
      </c>
      <c r="F7" s="225">
        <f>B2</f>
        <v>1.0203469509157261</v>
      </c>
      <c r="H7" s="234">
        <v>0</v>
      </c>
      <c r="I7" s="225">
        <f>B2</f>
        <v>1.0203469509157261</v>
      </c>
      <c r="J7" s="62"/>
      <c r="K7" s="234">
        <v>0</v>
      </c>
      <c r="L7" s="225">
        <f>B2</f>
        <v>1.0203469509157261</v>
      </c>
      <c r="N7" s="236">
        <v>0</v>
      </c>
      <c r="O7" s="227">
        <f>B2</f>
        <v>1.0203469509157261</v>
      </c>
      <c r="Q7" s="236">
        <v>0</v>
      </c>
      <c r="R7" s="227">
        <f>B2</f>
        <v>1.0203469509157261</v>
      </c>
    </row>
    <row r="8" spans="1:18" x14ac:dyDescent="0.25">
      <c r="A8" s="229"/>
      <c r="B8" s="234">
        <v>0.1</v>
      </c>
      <c r="C8" s="230">
        <f t="dataTable" ref="C8:C17" dt2D="0" dtr="0" r1="B7" ca="1"/>
        <v>0.7920260725942091</v>
      </c>
      <c r="D8" s="246"/>
      <c r="E8" s="234">
        <v>0.1</v>
      </c>
      <c r="F8" s="230">
        <f t="dataTable" ref="F8:F17" dt2D="0" dtr="0" r1="E7" ca="1"/>
        <v>0.83835019165241287</v>
      </c>
      <c r="H8" s="234">
        <v>-0.1</v>
      </c>
      <c r="I8" s="230">
        <f t="dataTable" ref="I8:I17" dt2D="0" dtr="0" r1="H7" ca="1"/>
        <v>1.0203469509157261</v>
      </c>
      <c r="J8" s="62"/>
      <c r="K8" s="234">
        <v>-0.1</v>
      </c>
      <c r="L8" s="230">
        <f t="dataTable" ref="L8:L17" dt2D="0" dtr="0" r1="K7" ca="1"/>
        <v>1.029248925075813</v>
      </c>
      <c r="N8" s="236">
        <v>-0.1</v>
      </c>
      <c r="O8" s="232">
        <f t="dataTable" ref="O8:O17" dt2D="0" dtr="0" r1="N7" ca="1"/>
        <v>0.98863482925127977</v>
      </c>
      <c r="Q8" s="236">
        <v>-0.1</v>
      </c>
      <c r="R8" s="232">
        <f t="dataTable" ref="R8:R17" dt2D="0" dtr="0" r1="Q7"/>
        <v>0.94531255945431403</v>
      </c>
    </row>
    <row r="9" spans="1:18" x14ac:dyDescent="0.25">
      <c r="A9" s="228"/>
      <c r="B9" s="234">
        <v>0.2</v>
      </c>
      <c r="C9" s="230">
        <v>0.64720285835418501</v>
      </c>
      <c r="D9" s="246"/>
      <c r="E9" s="234">
        <v>0.2</v>
      </c>
      <c r="F9" s="230">
        <v>0.71145052334891523</v>
      </c>
      <c r="H9" s="234">
        <v>-0.2</v>
      </c>
      <c r="I9" s="230">
        <v>1.0203469509157261</v>
      </c>
      <c r="J9" s="62"/>
      <c r="K9" s="234">
        <v>-0.2</v>
      </c>
      <c r="L9" s="230">
        <v>1.0381508992358999</v>
      </c>
      <c r="N9" s="236">
        <v>-0.2</v>
      </c>
      <c r="O9" s="232">
        <v>0.95692270758683307</v>
      </c>
      <c r="Q9" s="236">
        <v>-0.2</v>
      </c>
      <c r="R9" s="232">
        <v>0.87027816799290192</v>
      </c>
    </row>
    <row r="10" spans="1:18" x14ac:dyDescent="0.25">
      <c r="A10" s="228"/>
      <c r="B10" s="234">
        <v>0.3</v>
      </c>
      <c r="C10" s="230">
        <v>0.54715475079900577</v>
      </c>
      <c r="D10" s="246"/>
      <c r="E10" s="234">
        <v>0.3</v>
      </c>
      <c r="F10" s="230">
        <v>0.61791739874276319</v>
      </c>
      <c r="H10" s="234">
        <v>-0.3</v>
      </c>
      <c r="I10" s="230">
        <v>1.0203469509157261</v>
      </c>
      <c r="J10" s="62"/>
      <c r="K10" s="234">
        <v>-0.3</v>
      </c>
      <c r="L10" s="230">
        <v>1.0470528733959867</v>
      </c>
      <c r="N10" s="236">
        <v>-0.3</v>
      </c>
      <c r="O10" s="232">
        <v>0.92521058592238625</v>
      </c>
      <c r="Q10" s="236">
        <v>-0.3</v>
      </c>
      <c r="R10" s="232">
        <v>0.7952437765314897</v>
      </c>
    </row>
    <row r="11" spans="1:18" x14ac:dyDescent="0.25">
      <c r="A11" s="228"/>
      <c r="B11" s="234">
        <v>0.4</v>
      </c>
      <c r="C11" s="230">
        <v>0.47389717087651179</v>
      </c>
      <c r="D11" s="246"/>
      <c r="E11" s="234">
        <v>0.4</v>
      </c>
      <c r="F11" s="230">
        <v>0.54611998372726922</v>
      </c>
      <c r="H11" s="234">
        <v>-0.4</v>
      </c>
      <c r="I11" s="230">
        <v>1.0203469509157261</v>
      </c>
      <c r="J11" s="62"/>
      <c r="K11" s="234">
        <v>-0.4</v>
      </c>
      <c r="L11" s="230">
        <v>1.0559548475560734</v>
      </c>
      <c r="N11" s="236">
        <v>-0.4</v>
      </c>
      <c r="O11" s="232">
        <v>0.89349846425793966</v>
      </c>
      <c r="Q11" s="236">
        <v>-0.4</v>
      </c>
      <c r="R11" s="232">
        <v>0.72020938507007748</v>
      </c>
    </row>
    <row r="12" spans="1:18" x14ac:dyDescent="0.25">
      <c r="A12" s="228"/>
      <c r="B12" s="234">
        <v>0.5</v>
      </c>
      <c r="C12" s="230">
        <v>0.41793993380780819</v>
      </c>
      <c r="D12" s="246"/>
      <c r="E12" s="234">
        <v>0.5</v>
      </c>
      <c r="F12" s="230">
        <v>0.48927039555289598</v>
      </c>
      <c r="H12" s="234">
        <v>-0.5</v>
      </c>
      <c r="I12" s="230">
        <v>1.0203469509157261</v>
      </c>
      <c r="J12" s="62"/>
      <c r="K12" s="234">
        <v>-0.5</v>
      </c>
      <c r="L12" s="230">
        <v>1.0648568217161605</v>
      </c>
      <c r="N12" s="236">
        <v>-0.5</v>
      </c>
      <c r="O12" s="232">
        <v>0.86178634259349296</v>
      </c>
      <c r="Q12" s="236">
        <v>-0.5</v>
      </c>
      <c r="R12" s="232">
        <v>0.64517499360866548</v>
      </c>
    </row>
    <row r="13" spans="1:18" x14ac:dyDescent="0.25">
      <c r="A13" s="228"/>
      <c r="B13" s="234">
        <v>0.6</v>
      </c>
      <c r="C13" s="230">
        <v>0.37380183925603105</v>
      </c>
      <c r="D13" s="246"/>
      <c r="E13" s="234">
        <v>0.6</v>
      </c>
      <c r="F13" s="230">
        <v>0.44314067062270956</v>
      </c>
      <c r="H13" s="234">
        <v>-0.6</v>
      </c>
      <c r="I13" s="230">
        <v>1.0203469509157261</v>
      </c>
      <c r="J13" s="62"/>
      <c r="K13" s="234">
        <v>-0.6</v>
      </c>
      <c r="L13" s="230">
        <v>1.0737587958762471</v>
      </c>
      <c r="N13" s="236">
        <v>-0.6</v>
      </c>
      <c r="O13" s="232">
        <v>0.83007422092904637</v>
      </c>
      <c r="Q13" s="236">
        <v>-0.6</v>
      </c>
      <c r="R13" s="232">
        <v>0.57014060214725326</v>
      </c>
    </row>
    <row r="14" spans="1:18" x14ac:dyDescent="0.25">
      <c r="A14" s="224"/>
      <c r="B14" s="234">
        <v>0.7</v>
      </c>
      <c r="C14" s="230">
        <v>0.33809596294920174</v>
      </c>
      <c r="D14" s="246"/>
      <c r="E14" s="234">
        <v>0.7</v>
      </c>
      <c r="F14" s="230">
        <v>0.40495995967561582</v>
      </c>
      <c r="H14" s="234">
        <v>-0.7</v>
      </c>
      <c r="I14" s="230">
        <v>1.0203469509157261</v>
      </c>
      <c r="J14" s="62"/>
      <c r="K14" s="234">
        <v>-0.7</v>
      </c>
      <c r="L14" s="230">
        <v>1.082660770036334</v>
      </c>
      <c r="N14" s="236">
        <v>-0.7</v>
      </c>
      <c r="O14" s="232">
        <v>0.79836209926459978</v>
      </c>
      <c r="Q14" s="236">
        <v>-0.7</v>
      </c>
      <c r="R14" s="232">
        <v>0.49510621068584121</v>
      </c>
    </row>
    <row r="15" spans="1:18" x14ac:dyDescent="0.25">
      <c r="A15" s="224"/>
      <c r="B15" s="234">
        <v>0.8</v>
      </c>
      <c r="C15" s="230">
        <v>0.30861663405228523</v>
      </c>
      <c r="D15" s="246"/>
      <c r="E15" s="234">
        <v>0.8</v>
      </c>
      <c r="F15" s="230">
        <v>0.37283660144229941</v>
      </c>
      <c r="H15" s="234">
        <v>-0.8</v>
      </c>
      <c r="I15" s="230">
        <v>1.0203469509157261</v>
      </c>
      <c r="J15" s="62"/>
      <c r="K15" s="234">
        <v>-0.8</v>
      </c>
      <c r="L15" s="230">
        <v>1.0915627441964211</v>
      </c>
      <c r="N15" s="236">
        <v>-0.8</v>
      </c>
      <c r="O15" s="232">
        <v>0.7666499776001533</v>
      </c>
      <c r="Q15" s="236">
        <v>-0.8</v>
      </c>
      <c r="R15" s="232">
        <v>0.42007181922442893</v>
      </c>
    </row>
    <row r="16" spans="1:18" x14ac:dyDescent="0.25">
      <c r="A16" s="224"/>
      <c r="B16" s="234">
        <v>0.9</v>
      </c>
      <c r="C16" s="230">
        <v>0.28386575590540652</v>
      </c>
      <c r="D16" s="246"/>
      <c r="E16" s="234">
        <v>0.9</v>
      </c>
      <c r="F16" s="230">
        <v>0.34543504384471907</v>
      </c>
      <c r="H16" s="234">
        <v>-0.9</v>
      </c>
      <c r="I16" s="230">
        <v>1.0203469509157261</v>
      </c>
      <c r="J16" s="62"/>
      <c r="K16" s="234">
        <v>-0.9</v>
      </c>
      <c r="L16" s="230">
        <v>1.1004647183565077</v>
      </c>
      <c r="N16" s="236">
        <v>-0.9</v>
      </c>
      <c r="O16" s="232">
        <v>0.73493785593570649</v>
      </c>
      <c r="Q16" s="236">
        <v>-0.9</v>
      </c>
      <c r="R16" s="232">
        <v>0.34503742776301688</v>
      </c>
    </row>
    <row r="17" spans="1:18" x14ac:dyDescent="0.25">
      <c r="A17" s="224"/>
      <c r="B17" s="235">
        <v>1</v>
      </c>
      <c r="C17" s="231">
        <v>0.26279013672422835</v>
      </c>
      <c r="D17" s="246"/>
      <c r="E17" s="235">
        <v>1</v>
      </c>
      <c r="F17" s="231">
        <v>0.3217854791134595</v>
      </c>
      <c r="H17" s="235">
        <v>-1</v>
      </c>
      <c r="I17" s="231">
        <v>1.0203469509157261</v>
      </c>
      <c r="J17" s="62"/>
      <c r="K17" s="235">
        <v>-1</v>
      </c>
      <c r="L17" s="231">
        <v>1.1093666925165946</v>
      </c>
      <c r="N17" s="237">
        <v>-1</v>
      </c>
      <c r="O17" s="233">
        <v>0.70322573427125989</v>
      </c>
      <c r="Q17" s="237">
        <v>-1</v>
      </c>
      <c r="R17" s="233">
        <v>0.27000303630160472</v>
      </c>
    </row>
    <row r="18" spans="1:18" x14ac:dyDescent="0.25">
      <c r="A18" s="228"/>
      <c r="B18" s="229"/>
      <c r="C18" s="229"/>
      <c r="D18" s="229"/>
      <c r="E18" s="229"/>
      <c r="F18" s="229"/>
      <c r="N18" s="240"/>
    </row>
    <row r="19" spans="1:18" x14ac:dyDescent="0.25">
      <c r="A19" s="228"/>
      <c r="B19" s="229"/>
      <c r="C19" s="229"/>
      <c r="D19" s="229"/>
      <c r="E19" s="229"/>
      <c r="F19" s="229"/>
    </row>
    <row r="20" spans="1:18" x14ac:dyDescent="0.25">
      <c r="A20" s="229"/>
      <c r="B20" s="229"/>
      <c r="C20" s="229"/>
      <c r="D20" s="229"/>
      <c r="E20" s="229"/>
      <c r="F20" s="229"/>
    </row>
    <row r="25" spans="1:18" ht="18.75" customHeight="1" x14ac:dyDescent="0.25">
      <c r="B25" s="229"/>
      <c r="C25" s="229"/>
      <c r="D25" s="702" t="s">
        <v>203</v>
      </c>
      <c r="E25" s="703"/>
      <c r="F25" s="703"/>
      <c r="G25" s="703"/>
      <c r="H25" s="703"/>
      <c r="I25" s="703"/>
      <c r="J25" s="703"/>
      <c r="K25" s="703"/>
      <c r="L25" s="703"/>
      <c r="M25" s="703"/>
      <c r="N25" s="704"/>
    </row>
    <row r="26" spans="1:18" x14ac:dyDescent="0.25">
      <c r="B26" s="229"/>
      <c r="C26" s="249">
        <f>B2</f>
        <v>1.0203469509157261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 x14ac:dyDescent="0.25">
      <c r="B27" s="705" t="s">
        <v>202</v>
      </c>
      <c r="C27" s="257">
        <v>0</v>
      </c>
      <c r="D27" s="246">
        <f t="dataTable" ref="D27:N37" dt2D="1" dtr="1" r1="Q7" r2="N7" ca="1"/>
        <v>1.0203469509157261</v>
      </c>
      <c r="E27" s="246">
        <v>0.94531255945431403</v>
      </c>
      <c r="F27" s="246">
        <v>0.87027816799290192</v>
      </c>
      <c r="G27" s="251">
        <v>0.7952437765314897</v>
      </c>
      <c r="H27" s="251">
        <v>0.72020938507007748</v>
      </c>
      <c r="I27" s="251">
        <v>0.64517499360866548</v>
      </c>
      <c r="J27" s="251">
        <v>0.57014060214725326</v>
      </c>
      <c r="K27" s="251">
        <v>0.49510621068584121</v>
      </c>
      <c r="L27" s="251">
        <v>0.42007181922442893</v>
      </c>
      <c r="M27" s="251">
        <v>0.34503742776301688</v>
      </c>
      <c r="N27" s="232">
        <v>0.27000303630160472</v>
      </c>
    </row>
    <row r="28" spans="1:18" x14ac:dyDescent="0.25">
      <c r="B28" s="706"/>
      <c r="C28" s="250">
        <v>-0.1</v>
      </c>
      <c r="D28" s="246">
        <v>0.98863482925127977</v>
      </c>
      <c r="E28" s="246">
        <v>0.91360043778986755</v>
      </c>
      <c r="F28" s="246">
        <v>0.83856604632845544</v>
      </c>
      <c r="G28" s="251">
        <v>0.76353165486704311</v>
      </c>
      <c r="H28" s="251">
        <v>0.688497263405631</v>
      </c>
      <c r="I28" s="251">
        <v>0.61346287194421889</v>
      </c>
      <c r="J28" s="251">
        <v>0.53842848048280678</v>
      </c>
      <c r="K28" s="251">
        <v>0.46339408902139462</v>
      </c>
      <c r="L28" s="251">
        <v>0.38835969755998245</v>
      </c>
      <c r="M28" s="251">
        <v>0.31332530609857029</v>
      </c>
      <c r="N28" s="232">
        <v>0.23829091463715815</v>
      </c>
    </row>
    <row r="29" spans="1:18" x14ac:dyDescent="0.25">
      <c r="B29" s="706"/>
      <c r="C29" s="250">
        <v>-0.2</v>
      </c>
      <c r="D29" s="246">
        <v>0.95692270758683307</v>
      </c>
      <c r="E29" s="246">
        <v>0.88188831612542085</v>
      </c>
      <c r="F29" s="246">
        <v>0.80685392466400874</v>
      </c>
      <c r="G29" s="251">
        <v>0.7318195332025963</v>
      </c>
      <c r="H29" s="251">
        <v>0.65678514174118441</v>
      </c>
      <c r="I29" s="251">
        <v>0.58175075027977219</v>
      </c>
      <c r="J29" s="251">
        <v>0.50671635881836019</v>
      </c>
      <c r="K29" s="251">
        <v>0.43168196735694797</v>
      </c>
      <c r="L29" s="251">
        <v>0.35664757589553581</v>
      </c>
      <c r="M29" s="251">
        <v>0.2816131844341237</v>
      </c>
      <c r="N29" s="232">
        <v>0.20657879297271153</v>
      </c>
    </row>
    <row r="30" spans="1:18" x14ac:dyDescent="0.25">
      <c r="B30" s="706"/>
      <c r="C30" s="250">
        <v>-0.3</v>
      </c>
      <c r="D30" s="246">
        <v>0.92521058592238625</v>
      </c>
      <c r="E30" s="246">
        <v>0.85017619446097414</v>
      </c>
      <c r="F30" s="246">
        <v>0.77514180299956192</v>
      </c>
      <c r="G30" s="251">
        <v>0.7001074115381497</v>
      </c>
      <c r="H30" s="251">
        <v>0.62507302007673771</v>
      </c>
      <c r="I30" s="251">
        <v>0.55003862861532549</v>
      </c>
      <c r="J30" s="251">
        <v>0.47500423715391343</v>
      </c>
      <c r="K30" s="251">
        <v>0.39996984569250138</v>
      </c>
      <c r="L30" s="251">
        <v>0.3249354542310891</v>
      </c>
      <c r="M30" s="251">
        <v>0.24990106276967697</v>
      </c>
      <c r="N30" s="232">
        <v>0.17486667130826489</v>
      </c>
    </row>
    <row r="31" spans="1:18" x14ac:dyDescent="0.25">
      <c r="B31" s="706"/>
      <c r="C31" s="250">
        <v>-0.4</v>
      </c>
      <c r="D31" s="246">
        <v>0.89349846425793966</v>
      </c>
      <c r="E31" s="246">
        <v>0.81846407279652766</v>
      </c>
      <c r="F31" s="246">
        <v>0.74342968133511533</v>
      </c>
      <c r="G31" s="251">
        <v>0.66839528987370322</v>
      </c>
      <c r="H31" s="251">
        <v>0.59336089841229112</v>
      </c>
      <c r="I31" s="251">
        <v>0.51832650695087901</v>
      </c>
      <c r="J31" s="251">
        <v>0.4432921154894669</v>
      </c>
      <c r="K31" s="251">
        <v>0.36825772402805468</v>
      </c>
      <c r="L31" s="251">
        <v>0.29322333256664246</v>
      </c>
      <c r="M31" s="251">
        <v>0.21818894110523032</v>
      </c>
      <c r="N31" s="232">
        <v>0.14315454964381824</v>
      </c>
    </row>
    <row r="32" spans="1:18" x14ac:dyDescent="0.25">
      <c r="B32" s="706"/>
      <c r="C32" s="250">
        <v>-0.5</v>
      </c>
      <c r="D32" s="246">
        <v>0.86178634259349296</v>
      </c>
      <c r="E32" s="246">
        <v>0.78675195113208085</v>
      </c>
      <c r="F32" s="246">
        <v>0.71171755967066874</v>
      </c>
      <c r="G32" s="251">
        <v>0.63668316820925641</v>
      </c>
      <c r="H32" s="251">
        <v>0.56164877674784441</v>
      </c>
      <c r="I32" s="251">
        <v>0.4866143852864323</v>
      </c>
      <c r="J32" s="251">
        <v>0.41157999382502014</v>
      </c>
      <c r="K32" s="251">
        <v>0.33654560236360803</v>
      </c>
      <c r="L32" s="251">
        <v>0.26151121090219587</v>
      </c>
      <c r="M32" s="251">
        <v>0.1864768194407837</v>
      </c>
      <c r="N32" s="232">
        <v>0.11144242797937158</v>
      </c>
    </row>
    <row r="33" spans="2:14" x14ac:dyDescent="0.25">
      <c r="B33" s="706"/>
      <c r="C33" s="250">
        <v>-0.6</v>
      </c>
      <c r="D33" s="246">
        <v>0.83007422092904637</v>
      </c>
      <c r="E33" s="246">
        <v>0.75503982946763415</v>
      </c>
      <c r="F33" s="246">
        <v>0.68000543800622215</v>
      </c>
      <c r="G33" s="251">
        <v>0.60497104654480993</v>
      </c>
      <c r="H33" s="251">
        <v>0.52993665508339782</v>
      </c>
      <c r="I33" s="251">
        <v>0.45490226362198577</v>
      </c>
      <c r="J33" s="251">
        <v>0.37986787216057361</v>
      </c>
      <c r="K33" s="251">
        <v>0.30483348069916139</v>
      </c>
      <c r="L33" s="251">
        <v>0.22979908923774919</v>
      </c>
      <c r="M33" s="251">
        <v>0.15476469777633708</v>
      </c>
      <c r="N33" s="232">
        <v>7.9730306314924948E-2</v>
      </c>
    </row>
    <row r="34" spans="2:14" x14ac:dyDescent="0.25">
      <c r="B34" s="706"/>
      <c r="C34" s="250">
        <v>-0.7</v>
      </c>
      <c r="D34" s="246">
        <v>0.79836209926459978</v>
      </c>
      <c r="E34" s="246">
        <v>0.72332770780318756</v>
      </c>
      <c r="F34" s="246">
        <v>0.64829331634177545</v>
      </c>
      <c r="G34" s="251">
        <v>0.57325892488036323</v>
      </c>
      <c r="H34" s="251">
        <v>0.49822453341895118</v>
      </c>
      <c r="I34" s="251">
        <v>0.42319014195753901</v>
      </c>
      <c r="J34" s="251">
        <v>0.3481557504961269</v>
      </c>
      <c r="K34" s="251">
        <v>0.27312135903471479</v>
      </c>
      <c r="L34" s="251">
        <v>0.19808696757330252</v>
      </c>
      <c r="M34" s="251">
        <v>0.12305257611189044</v>
      </c>
      <c r="N34" s="232">
        <v>4.8018184650478316E-2</v>
      </c>
    </row>
    <row r="35" spans="2:14" x14ac:dyDescent="0.25">
      <c r="B35" s="706"/>
      <c r="C35" s="250">
        <v>-0.8</v>
      </c>
      <c r="D35" s="246">
        <v>0.7666499776001533</v>
      </c>
      <c r="E35" s="246">
        <v>0.69161558613874097</v>
      </c>
      <c r="F35" s="246">
        <v>0.61658119467732886</v>
      </c>
      <c r="G35" s="251">
        <v>0.54154680321591664</v>
      </c>
      <c r="H35" s="251">
        <v>0.46651241175450453</v>
      </c>
      <c r="I35" s="251">
        <v>0.39147802029309248</v>
      </c>
      <c r="J35" s="251">
        <v>0.31644362883168026</v>
      </c>
      <c r="K35" s="251">
        <v>0.2414092373702682</v>
      </c>
      <c r="L35" s="251">
        <v>0.16637484590885593</v>
      </c>
      <c r="M35" s="251">
        <v>9.1340454447443806E-2</v>
      </c>
      <c r="N35" s="232">
        <v>1.6306062986031686E-2</v>
      </c>
    </row>
    <row r="36" spans="2:14" x14ac:dyDescent="0.25">
      <c r="B36" s="706"/>
      <c r="C36" s="250">
        <v>-0.9</v>
      </c>
      <c r="D36" s="246">
        <v>0.73493785593570649</v>
      </c>
      <c r="E36" s="246">
        <v>0.65990346447429438</v>
      </c>
      <c r="F36" s="246">
        <v>0.58486907301288227</v>
      </c>
      <c r="G36" s="251">
        <v>0.50983468155146994</v>
      </c>
      <c r="H36" s="251">
        <v>0.43480029009005788</v>
      </c>
      <c r="I36" s="251">
        <v>0.35976589862864583</v>
      </c>
      <c r="J36" s="251">
        <v>0.28473150716723367</v>
      </c>
      <c r="K36" s="251">
        <v>0.20969711570582156</v>
      </c>
      <c r="L36" s="251">
        <v>0.13466272424440934</v>
      </c>
      <c r="M36" s="251">
        <v>5.9628332782997215E-2</v>
      </c>
      <c r="N36" s="232">
        <v>-1.5406058678414901E-2</v>
      </c>
    </row>
    <row r="37" spans="2:14" x14ac:dyDescent="0.25">
      <c r="B37" s="707"/>
      <c r="C37" s="256">
        <v>-1</v>
      </c>
      <c r="D37" s="253">
        <v>0.70322573427125989</v>
      </c>
      <c r="E37" s="253">
        <v>0.62819134280984779</v>
      </c>
      <c r="F37" s="253">
        <v>0.55315695134843557</v>
      </c>
      <c r="G37" s="254">
        <v>0.47812255988702357</v>
      </c>
      <c r="H37" s="254">
        <v>0.40308816842561135</v>
      </c>
      <c r="I37" s="254">
        <v>0.32805377696419918</v>
      </c>
      <c r="J37" s="254">
        <v>0.25301938550278702</v>
      </c>
      <c r="K37" s="254">
        <v>0.17798499404137494</v>
      </c>
      <c r="L37" s="254">
        <v>0.10295060257996271</v>
      </c>
      <c r="M37" s="254">
        <v>2.7916211118550572E-2</v>
      </c>
      <c r="N37" s="233">
        <v>-4.7118180342861533E-2</v>
      </c>
    </row>
    <row r="41" spans="2:14" x14ac:dyDescent="0.25">
      <c r="B41" s="229"/>
      <c r="C41" s="229"/>
      <c r="D41" s="702" t="s">
        <v>204</v>
      </c>
      <c r="E41" s="703"/>
      <c r="F41" s="703"/>
      <c r="G41" s="703"/>
      <c r="H41" s="703"/>
      <c r="I41" s="703"/>
      <c r="J41" s="703"/>
      <c r="K41" s="703"/>
      <c r="L41" s="703"/>
      <c r="M41" s="703"/>
      <c r="N41" s="704"/>
    </row>
    <row r="42" spans="2:14" x14ac:dyDescent="0.25">
      <c r="B42" s="229"/>
      <c r="C42" s="249">
        <f>B2</f>
        <v>1.0203469509157261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 x14ac:dyDescent="0.25">
      <c r="B43" s="705" t="s">
        <v>206</v>
      </c>
      <c r="C43" s="257">
        <v>0</v>
      </c>
      <c r="D43" s="246">
        <f t="dataTable" ref="D43:N53" dt2D="1" dtr="1" r1="K7" r2="E7" ca="1"/>
        <v>1.0203469509157261</v>
      </c>
      <c r="E43" s="246">
        <v>1.029248925075813</v>
      </c>
      <c r="F43" s="246">
        <v>1.0381508992358999</v>
      </c>
      <c r="G43" s="251">
        <v>1.0470528733959867</v>
      </c>
      <c r="H43" s="251">
        <v>1.0559548475560734</v>
      </c>
      <c r="I43" s="251">
        <v>1.0648568217161605</v>
      </c>
      <c r="J43" s="251">
        <v>1.0737587958762471</v>
      </c>
      <c r="K43" s="251">
        <v>1.082660770036334</v>
      </c>
      <c r="L43" s="251">
        <v>1.0915627441964211</v>
      </c>
      <c r="M43" s="251">
        <v>1.1004647183565077</v>
      </c>
      <c r="N43" s="232">
        <v>1.1093666925165946</v>
      </c>
    </row>
    <row r="44" spans="2:14" x14ac:dyDescent="0.25">
      <c r="B44" s="706"/>
      <c r="C44" s="250">
        <v>0.1</v>
      </c>
      <c r="D44" s="246">
        <v>0.83835019165241287</v>
      </c>
      <c r="E44" s="246">
        <v>0.84566434272278745</v>
      </c>
      <c r="F44" s="246">
        <v>0.85297849379316182</v>
      </c>
      <c r="G44" s="251">
        <v>0.8602926448635364</v>
      </c>
      <c r="H44" s="251">
        <v>0.86760679593391088</v>
      </c>
      <c r="I44" s="251">
        <v>0.87492094700428547</v>
      </c>
      <c r="J44" s="251">
        <v>0.88223509807465983</v>
      </c>
      <c r="K44" s="251">
        <v>0.88954924914503442</v>
      </c>
      <c r="L44" s="251">
        <v>0.89686340021540911</v>
      </c>
      <c r="M44" s="251">
        <v>0.90417755128578348</v>
      </c>
      <c r="N44" s="232">
        <v>0.91149170235615806</v>
      </c>
    </row>
    <row r="45" spans="2:14" x14ac:dyDescent="0.25">
      <c r="B45" s="706"/>
      <c r="C45" s="250">
        <v>0.2</v>
      </c>
      <c r="D45" s="246">
        <v>0.71145052334891523</v>
      </c>
      <c r="E45" s="246">
        <v>0.71765754358781386</v>
      </c>
      <c r="F45" s="246">
        <v>0.72386456382671227</v>
      </c>
      <c r="G45" s="251">
        <v>0.7300715840656109</v>
      </c>
      <c r="H45" s="251">
        <v>0.73627860430450931</v>
      </c>
      <c r="I45" s="251">
        <v>0.74248562454340783</v>
      </c>
      <c r="J45" s="251">
        <v>0.74869264478230635</v>
      </c>
      <c r="K45" s="251">
        <v>0.75489966502120487</v>
      </c>
      <c r="L45" s="251">
        <v>0.7611066852601035</v>
      </c>
      <c r="M45" s="251">
        <v>0.76731370549900191</v>
      </c>
      <c r="N45" s="232">
        <v>0.77352072573790054</v>
      </c>
    </row>
    <row r="46" spans="2:14" x14ac:dyDescent="0.25">
      <c r="B46" s="706"/>
      <c r="C46" s="250">
        <v>0.3</v>
      </c>
      <c r="D46" s="246">
        <v>0.61791739874276319</v>
      </c>
      <c r="E46" s="246">
        <v>0.62330839316063202</v>
      </c>
      <c r="F46" s="246">
        <v>0.62869938757850075</v>
      </c>
      <c r="G46" s="251">
        <v>0.63409038199636969</v>
      </c>
      <c r="H46" s="251">
        <v>0.63948137641423841</v>
      </c>
      <c r="I46" s="251">
        <v>0.64487237083210736</v>
      </c>
      <c r="J46" s="251">
        <v>0.65026336524997608</v>
      </c>
      <c r="K46" s="251">
        <v>0.65565435966784491</v>
      </c>
      <c r="L46" s="251">
        <v>0.66104535408571385</v>
      </c>
      <c r="M46" s="251">
        <v>0.66643634850358258</v>
      </c>
      <c r="N46" s="232">
        <v>0.67182734292145152</v>
      </c>
    </row>
    <row r="47" spans="2:14" x14ac:dyDescent="0.25">
      <c r="B47" s="706"/>
      <c r="C47" s="250">
        <v>0.4</v>
      </c>
      <c r="D47" s="246">
        <v>0.54611998372726922</v>
      </c>
      <c r="E47" s="246">
        <v>0.55088458461041412</v>
      </c>
      <c r="F47" s="246">
        <v>0.55564918549355891</v>
      </c>
      <c r="G47" s="251">
        <v>0.5604137863767038</v>
      </c>
      <c r="H47" s="251">
        <v>0.56517838725984859</v>
      </c>
      <c r="I47" s="251">
        <v>0.56994298814299338</v>
      </c>
      <c r="J47" s="251">
        <v>0.57470758902613817</v>
      </c>
      <c r="K47" s="251">
        <v>0.57947218990928306</v>
      </c>
      <c r="L47" s="251">
        <v>0.58423679079242796</v>
      </c>
      <c r="M47" s="251">
        <v>0.58900139167557275</v>
      </c>
      <c r="N47" s="232">
        <v>0.59376599255871765</v>
      </c>
    </row>
    <row r="48" spans="2:14" x14ac:dyDescent="0.25">
      <c r="B48" s="706"/>
      <c r="C48" s="250">
        <v>0.5</v>
      </c>
      <c r="D48" s="246">
        <v>0.48927039555289598</v>
      </c>
      <c r="E48" s="246">
        <v>0.49353901458938992</v>
      </c>
      <c r="F48" s="246">
        <v>0.49780763362588371</v>
      </c>
      <c r="G48" s="251">
        <v>0.50207625266237765</v>
      </c>
      <c r="H48" s="251">
        <v>0.50634487169887143</v>
      </c>
      <c r="I48" s="251">
        <v>0.51061349073536544</v>
      </c>
      <c r="J48" s="251">
        <v>0.51488210977185922</v>
      </c>
      <c r="K48" s="251">
        <v>0.51915072880835311</v>
      </c>
      <c r="L48" s="251">
        <v>0.523419347844847</v>
      </c>
      <c r="M48" s="251">
        <v>0.5276879668813409</v>
      </c>
      <c r="N48" s="232">
        <v>0.53195658591783479</v>
      </c>
    </row>
    <row r="49" spans="2:14" x14ac:dyDescent="0.25">
      <c r="B49" s="706"/>
      <c r="C49" s="250">
        <v>0.6</v>
      </c>
      <c r="D49" s="246">
        <v>0.44314067062270956</v>
      </c>
      <c r="E49" s="246">
        <v>0.44700683280962711</v>
      </c>
      <c r="F49" s="246">
        <v>0.45087299499654448</v>
      </c>
      <c r="G49" s="251">
        <v>0.45473915718346203</v>
      </c>
      <c r="H49" s="251">
        <v>0.45860531937037946</v>
      </c>
      <c r="I49" s="251">
        <v>0.46247148155729695</v>
      </c>
      <c r="J49" s="251">
        <v>0.46633764374421438</v>
      </c>
      <c r="K49" s="251">
        <v>0.47020380593113187</v>
      </c>
      <c r="L49" s="251">
        <v>0.47406996811804941</v>
      </c>
      <c r="M49" s="251">
        <v>0.47793613030496684</v>
      </c>
      <c r="N49" s="232">
        <v>0.48180229249188433</v>
      </c>
    </row>
    <row r="50" spans="2:14" x14ac:dyDescent="0.25">
      <c r="B50" s="706"/>
      <c r="C50" s="250">
        <v>0.7</v>
      </c>
      <c r="D50" s="246">
        <v>0.40495995967561582</v>
      </c>
      <c r="E50" s="246">
        <v>0.40849301585191633</v>
      </c>
      <c r="F50" s="246">
        <v>0.41202607202821673</v>
      </c>
      <c r="G50" s="251">
        <v>0.41555912820451718</v>
      </c>
      <c r="H50" s="251">
        <v>0.41909218438081763</v>
      </c>
      <c r="I50" s="251">
        <v>0.42262524055711809</v>
      </c>
      <c r="J50" s="251">
        <v>0.42615829673341854</v>
      </c>
      <c r="K50" s="251">
        <v>0.42969135290971899</v>
      </c>
      <c r="L50" s="251">
        <v>0.4332244090860195</v>
      </c>
      <c r="M50" s="251">
        <v>0.4367574652623199</v>
      </c>
      <c r="N50" s="232">
        <v>0.44029052143862041</v>
      </c>
    </row>
    <row r="51" spans="2:14" x14ac:dyDescent="0.25">
      <c r="B51" s="706"/>
      <c r="C51" s="250">
        <v>0.8</v>
      </c>
      <c r="D51" s="246">
        <v>0.37283660144229941</v>
      </c>
      <c r="E51" s="246">
        <v>0.37608939872757113</v>
      </c>
      <c r="F51" s="246">
        <v>0.3793421960128428</v>
      </c>
      <c r="G51" s="251">
        <v>0.38259499329811458</v>
      </c>
      <c r="H51" s="251">
        <v>0.38584779058338625</v>
      </c>
      <c r="I51" s="251">
        <v>0.38910058786865798</v>
      </c>
      <c r="J51" s="251">
        <v>0.39235338515392965</v>
      </c>
      <c r="K51" s="251">
        <v>0.39560618243920143</v>
      </c>
      <c r="L51" s="251">
        <v>0.39885897972447315</v>
      </c>
      <c r="M51" s="251">
        <v>0.40211177700974482</v>
      </c>
      <c r="N51" s="232">
        <v>0.4053645742950166</v>
      </c>
    </row>
    <row r="52" spans="2:14" x14ac:dyDescent="0.25">
      <c r="B52" s="706"/>
      <c r="C52" s="250">
        <v>0.9</v>
      </c>
      <c r="D52" s="246">
        <v>0.34543504384471907</v>
      </c>
      <c r="E52" s="246">
        <v>0.34844877739048452</v>
      </c>
      <c r="F52" s="246">
        <v>0.35146251093624986</v>
      </c>
      <c r="G52" s="251">
        <v>0.35447624448201526</v>
      </c>
      <c r="H52" s="251">
        <v>0.35748997802778065</v>
      </c>
      <c r="I52" s="251">
        <v>0.36050371157354605</v>
      </c>
      <c r="J52" s="251">
        <v>0.36351744511931139</v>
      </c>
      <c r="K52" s="251">
        <v>0.36653117866507684</v>
      </c>
      <c r="L52" s="251">
        <v>0.36954491221084224</v>
      </c>
      <c r="M52" s="251">
        <v>0.37255864575660758</v>
      </c>
      <c r="N52" s="232">
        <v>0.37557237930237303</v>
      </c>
    </row>
    <row r="53" spans="2:14" x14ac:dyDescent="0.25">
      <c r="B53" s="707"/>
      <c r="C53" s="256">
        <v>1</v>
      </c>
      <c r="D53" s="253">
        <v>0.3217854791134595</v>
      </c>
      <c r="E53" s="253">
        <v>0.32459288302404932</v>
      </c>
      <c r="F53" s="253">
        <v>0.32740028693463907</v>
      </c>
      <c r="G53" s="254">
        <v>0.33020769084522889</v>
      </c>
      <c r="H53" s="254">
        <v>0.33301509475581864</v>
      </c>
      <c r="I53" s="254">
        <v>0.33582249866640851</v>
      </c>
      <c r="J53" s="254">
        <v>0.33862990257699827</v>
      </c>
      <c r="K53" s="254">
        <v>0.34143730648758808</v>
      </c>
      <c r="L53" s="254">
        <v>0.34424471039817789</v>
      </c>
      <c r="M53" s="254">
        <v>0.34705211430876765</v>
      </c>
      <c r="N53" s="233">
        <v>0.34985951821935746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zoomScale="60" zoomScaleNormal="85" workbookViewId="0">
      <selection activeCell="R4" sqref="R4"/>
    </sheetView>
  </sheetViews>
  <sheetFormatPr defaultColWidth="8.85546875" defaultRowHeight="15" x14ac:dyDescent="0.25"/>
  <cols>
    <col min="1" max="1" width="9.42578125" customWidth="1"/>
    <col min="2" max="3" width="14.285156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6" width="13.85546875" customWidth="1"/>
    <col min="17" max="17" width="14.7109375" customWidth="1"/>
    <col min="18" max="18" width="14" customWidth="1"/>
    <col min="19" max="19" width="14.42578125" customWidth="1"/>
    <col min="20" max="20" width="14.28515625" bestFit="1" customWidth="1"/>
    <col min="21" max="21" width="13.7109375" customWidth="1"/>
    <col min="22" max="22" width="15.42578125" customWidth="1"/>
  </cols>
  <sheetData>
    <row r="1" spans="1:22" ht="15.75" customHeight="1" thickBot="1" x14ac:dyDescent="0.3">
      <c r="A1" s="18"/>
      <c r="B1" s="694" t="s">
        <v>44</v>
      </c>
      <c r="C1" s="695"/>
      <c r="D1" s="696"/>
      <c r="E1" s="694" t="s">
        <v>45</v>
      </c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6"/>
      <c r="Q1" s="697" t="s">
        <v>46</v>
      </c>
      <c r="R1" s="698"/>
      <c r="S1" s="698"/>
      <c r="T1" s="698"/>
      <c r="U1" s="698"/>
      <c r="V1" s="699"/>
    </row>
    <row r="2" spans="1:22" ht="24" customHeight="1" x14ac:dyDescent="0.25">
      <c r="A2" s="8"/>
      <c r="B2" s="697" t="s">
        <v>47</v>
      </c>
      <c r="C2" s="698"/>
      <c r="D2" s="699"/>
      <c r="E2" s="712" t="s">
        <v>48</v>
      </c>
      <c r="F2" s="713"/>
      <c r="G2" s="714"/>
      <c r="H2" s="715" t="s">
        <v>49</v>
      </c>
      <c r="I2" s="713"/>
      <c r="J2" s="714"/>
      <c r="K2" s="715" t="s">
        <v>50</v>
      </c>
      <c r="L2" s="713"/>
      <c r="M2" s="714"/>
      <c r="N2" s="715" t="s">
        <v>195</v>
      </c>
      <c r="O2" s="713"/>
      <c r="P2" s="716"/>
      <c r="Q2" s="698" t="s">
        <v>17</v>
      </c>
      <c r="R2" s="698"/>
      <c r="S2" s="699"/>
      <c r="T2" s="698" t="s">
        <v>18</v>
      </c>
      <c r="U2" s="698"/>
      <c r="V2" s="699"/>
    </row>
    <row r="3" spans="1:22" ht="18.600000000000001" customHeight="1" thickBot="1" x14ac:dyDescent="0.3">
      <c r="A3" s="19" t="s">
        <v>23</v>
      </c>
      <c r="B3" s="23" t="s">
        <v>234</v>
      </c>
      <c r="C3" s="20" t="s">
        <v>173</v>
      </c>
      <c r="D3" s="24" t="s">
        <v>24</v>
      </c>
      <c r="E3" s="14" t="s">
        <v>234</v>
      </c>
      <c r="F3" s="15" t="s">
        <v>173</v>
      </c>
      <c r="G3" s="22" t="s">
        <v>24</v>
      </c>
      <c r="H3" s="21" t="s">
        <v>234</v>
      </c>
      <c r="I3" s="15" t="s">
        <v>173</v>
      </c>
      <c r="J3" s="22" t="s">
        <v>24</v>
      </c>
      <c r="K3" s="21" t="s">
        <v>234</v>
      </c>
      <c r="L3" s="15" t="s">
        <v>173</v>
      </c>
      <c r="M3" s="22" t="s">
        <v>24</v>
      </c>
      <c r="N3" s="21" t="s">
        <v>234</v>
      </c>
      <c r="O3" s="15" t="s">
        <v>173</v>
      </c>
      <c r="P3" s="16" t="s">
        <v>24</v>
      </c>
      <c r="Q3" s="15" t="s">
        <v>234</v>
      </c>
      <c r="R3" s="15" t="s">
        <v>173</v>
      </c>
      <c r="S3" s="16" t="s">
        <v>24</v>
      </c>
      <c r="T3" s="15" t="s">
        <v>234</v>
      </c>
      <c r="U3" s="15" t="s">
        <v>173</v>
      </c>
      <c r="V3" s="16" t="s">
        <v>24</v>
      </c>
    </row>
    <row r="4" spans="1:22" x14ac:dyDescent="0.25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73"/>
      <c r="F4" s="374"/>
      <c r="G4" s="34">
        <f t="shared" ref="G4:G13" si="0">IF(ISERR(F4-E4),"-",F4-E4)</f>
        <v>0</v>
      </c>
      <c r="H4" s="30">
        <v>0</v>
      </c>
      <c r="I4" s="26">
        <f>'Parametre - Agendové IS'!E97</f>
        <v>97685.55</v>
      </c>
      <c r="J4" s="34">
        <f>IF(ISERR(I4-H4),"-",I4-H4)</f>
        <v>97685.55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-100146.10236321839</v>
      </c>
      <c r="O4" s="26">
        <f>-'Parametre - Agendové IS'!E77</f>
        <v>-60087.661417931042</v>
      </c>
      <c r="P4" s="34">
        <f t="shared" ref="P4:P13" si="1">IF(ISERR(O4-N4),"-",O4-N4)</f>
        <v>40058.440945287351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-100146.10236321839</v>
      </c>
      <c r="U4" s="26">
        <f>SUM(I4,L4,O4)</f>
        <v>37597.888582068961</v>
      </c>
      <c r="V4" s="29">
        <f>U4-T4</f>
        <v>137743.99094528734</v>
      </c>
    </row>
    <row r="5" spans="1:22" x14ac:dyDescent="0.25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73"/>
      <c r="F5" s="374"/>
      <c r="G5" s="29">
        <f t="shared" si="0"/>
        <v>0</v>
      </c>
      <c r="H5" s="30">
        <v>0</v>
      </c>
      <c r="I5" s="26">
        <f>'Parametre - Agendové IS'!E98</f>
        <v>98322.412500000006</v>
      </c>
      <c r="J5" s="161">
        <f>IF(ISERR(I5-H5),"-",I5-H5)</f>
        <v>98322.412500000006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-99978.253376245222</v>
      </c>
      <c r="O5" s="26">
        <f>-'Parametre - Agendové IS'!E78</f>
        <v>-60971.855742528744</v>
      </c>
      <c r="P5" s="29">
        <f t="shared" si="1"/>
        <v>39006.397633716479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-99978.253376245222</v>
      </c>
      <c r="U5" s="26">
        <f t="shared" si="7"/>
        <v>37350.556757471262</v>
      </c>
      <c r="V5" s="29">
        <f t="shared" ref="V5:V13" si="8">U5-T5</f>
        <v>137328.8101337165</v>
      </c>
    </row>
    <row r="6" spans="1:22" x14ac:dyDescent="0.25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73"/>
      <c r="F6" s="374"/>
      <c r="G6" s="29">
        <f t="shared" si="0"/>
        <v>0</v>
      </c>
      <c r="H6" s="30">
        <v>0</v>
      </c>
      <c r="I6" s="26">
        <f>'Parametre - Agendové IS'!E99</f>
        <v>99404.662500000006</v>
      </c>
      <c r="J6" s="29">
        <f t="shared" ref="J6:J13" si="9">IF(ISERR(I6-H6),"-",I6-H6)</f>
        <v>99404.662500000006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-99949.804395402301</v>
      </c>
      <c r="O6" s="26">
        <f>-'Parametre - Agendové IS'!E79</f>
        <v>-62320.337434482761</v>
      </c>
      <c r="P6" s="29">
        <f t="shared" si="1"/>
        <v>37629.466960919541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-99949.804395402301</v>
      </c>
      <c r="U6" s="26">
        <f t="shared" si="7"/>
        <v>37084.325065517245</v>
      </c>
      <c r="V6" s="29">
        <f t="shared" si="8"/>
        <v>137034.12946091953</v>
      </c>
    </row>
    <row r="7" spans="1:22" x14ac:dyDescent="0.25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73"/>
      <c r="F7" s="374"/>
      <c r="G7" s="29">
        <f t="shared" si="0"/>
        <v>0</v>
      </c>
      <c r="H7" s="30">
        <v>0</v>
      </c>
      <c r="I7" s="26">
        <f>'Parametre - Agendové IS'!E100</f>
        <v>99793.162500000006</v>
      </c>
      <c r="J7" s="29">
        <f t="shared" si="9"/>
        <v>99793.162500000006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-99779.110510344835</v>
      </c>
      <c r="O7" s="26">
        <f>-'Parametre - Agendové IS'!E80</f>
        <v>-62900.696643678166</v>
      </c>
      <c r="P7" s="29">
        <f t="shared" si="1"/>
        <v>36878.413866666669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-99779.110510344835</v>
      </c>
      <c r="U7" s="26">
        <f t="shared" si="7"/>
        <v>36892.46585632184</v>
      </c>
      <c r="V7" s="29">
        <f t="shared" si="8"/>
        <v>136671.57636666668</v>
      </c>
    </row>
    <row r="8" spans="1:22" x14ac:dyDescent="0.25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73"/>
      <c r="F8" s="374"/>
      <c r="G8" s="29">
        <f t="shared" si="0"/>
        <v>0</v>
      </c>
      <c r="H8" s="30">
        <v>0</v>
      </c>
      <c r="I8" s="26">
        <f>'Parametre - Agendové IS'!E101</f>
        <v>100764.41250000001</v>
      </c>
      <c r="J8" s="29">
        <f t="shared" si="9"/>
        <v>100764.41250000001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-99779.110510344835</v>
      </c>
      <c r="O8" s="26">
        <f>-'Parametre - Agendové IS'!E81</f>
        <v>-64095.553839080465</v>
      </c>
      <c r="P8" s="29">
        <f t="shared" si="1"/>
        <v>35683.55667126437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-99779.110510344835</v>
      </c>
      <c r="U8" s="26">
        <f t="shared" si="7"/>
        <v>36668.858660919541</v>
      </c>
      <c r="V8" s="29">
        <f t="shared" si="8"/>
        <v>136447.96917126438</v>
      </c>
    </row>
    <row r="9" spans="1:22" x14ac:dyDescent="0.25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73"/>
      <c r="F9" s="374"/>
      <c r="G9" s="29">
        <f t="shared" si="0"/>
        <v>0</v>
      </c>
      <c r="H9" s="30">
        <v>0</v>
      </c>
      <c r="I9" s="26">
        <f>'Parametre - Agendové IS'!E102</f>
        <v>100764.41250000001</v>
      </c>
      <c r="J9" s="29">
        <f t="shared" si="9"/>
        <v>100764.41250000001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-99494.620701915715</v>
      </c>
      <c r="O9" s="26">
        <f>-'Parametre - Agendové IS'!E82</f>
        <v>-64266.247724137938</v>
      </c>
      <c r="P9" s="29">
        <f t="shared" si="1"/>
        <v>35228.372977777777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-99494.620701915715</v>
      </c>
      <c r="U9" s="26">
        <f t="shared" si="7"/>
        <v>36498.164775862067</v>
      </c>
      <c r="V9" s="29">
        <f t="shared" si="8"/>
        <v>135992.78547777777</v>
      </c>
    </row>
    <row r="10" spans="1:22" x14ac:dyDescent="0.25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73"/>
      <c r="F10" s="374"/>
      <c r="G10" s="29">
        <f t="shared" si="0"/>
        <v>0</v>
      </c>
      <c r="H10" s="30">
        <v>0</v>
      </c>
      <c r="I10" s="26">
        <f>'Parametre - Agendové IS'!E103</f>
        <v>101596.91250000001</v>
      </c>
      <c r="J10" s="29">
        <f t="shared" si="9"/>
        <v>101596.91250000001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-99295.477836015329</v>
      </c>
      <c r="O10" s="26">
        <f>-'Parametre - Agendové IS'!E83</f>
        <v>-65409.896754022993</v>
      </c>
      <c r="P10" s="29">
        <f t="shared" si="1"/>
        <v>33885.581081992335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-99295.477836015329</v>
      </c>
      <c r="U10" s="26">
        <f t="shared" si="7"/>
        <v>36187.015745977013</v>
      </c>
      <c r="V10" s="29">
        <f t="shared" si="8"/>
        <v>135482.49358199234</v>
      </c>
    </row>
    <row r="11" spans="1:22" x14ac:dyDescent="0.25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73"/>
      <c r="F11" s="374"/>
      <c r="G11" s="29">
        <f t="shared" si="0"/>
        <v>0</v>
      </c>
      <c r="H11" s="30">
        <v>0</v>
      </c>
      <c r="I11" s="26">
        <f>'Parametre - Agendové IS'!E104</f>
        <v>101513.66250000001</v>
      </c>
      <c r="J11" s="29">
        <f t="shared" si="9"/>
        <v>101513.66250000001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-99124.783950957863</v>
      </c>
      <c r="O11" s="26">
        <f>-'Parametre - Agendové IS'!E84</f>
        <v>-65409.896754022993</v>
      </c>
      <c r="P11" s="29">
        <f t="shared" si="1"/>
        <v>33714.887196934869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-99124.783950957863</v>
      </c>
      <c r="U11" s="26">
        <f t="shared" si="7"/>
        <v>36103.765745977013</v>
      </c>
      <c r="V11" s="29">
        <f t="shared" si="8"/>
        <v>135228.54969693488</v>
      </c>
    </row>
    <row r="12" spans="1:22" x14ac:dyDescent="0.25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73"/>
      <c r="F12" s="374"/>
      <c r="G12" s="29">
        <f t="shared" si="0"/>
        <v>0</v>
      </c>
      <c r="H12" s="30">
        <v>0</v>
      </c>
      <c r="I12" s="26">
        <f>'Parametre - Agendové IS'!E105</f>
        <v>102346.16250000001</v>
      </c>
      <c r="J12" s="29">
        <f t="shared" si="9"/>
        <v>102346.16250000001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-99124.783950957863</v>
      </c>
      <c r="O12" s="26">
        <f>-'Parametre - Agendové IS'!E85</f>
        <v>-66434.060064367819</v>
      </c>
      <c r="P12" s="29">
        <f t="shared" si="1"/>
        <v>32690.723886590044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-99124.783950957863</v>
      </c>
      <c r="U12" s="26">
        <f t="shared" si="7"/>
        <v>35912.102435632187</v>
      </c>
      <c r="V12" s="29">
        <f t="shared" si="8"/>
        <v>135036.88638659005</v>
      </c>
    </row>
    <row r="13" spans="1:22" ht="15.6" customHeight="1" thickBot="1" x14ac:dyDescent="0.3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82">
        <f t="shared" si="3"/>
        <v>0</v>
      </c>
      <c r="E13" s="375"/>
      <c r="F13" s="376"/>
      <c r="G13" s="182">
        <f t="shared" si="0"/>
        <v>0</v>
      </c>
      <c r="H13" s="30">
        <v>0</v>
      </c>
      <c r="I13" s="44">
        <f>'Parametre - Agendové IS'!E106</f>
        <v>102484.91250000001</v>
      </c>
      <c r="J13" s="182">
        <f t="shared" si="9"/>
        <v>102484.91250000001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-99124.783950957863</v>
      </c>
      <c r="O13" s="44">
        <f>-'Parametre - Agendové IS'!E86</f>
        <v>-66604.7539494253</v>
      </c>
      <c r="P13" s="44">
        <f t="shared" si="1"/>
        <v>32520.030001532563</v>
      </c>
      <c r="Q13" s="185">
        <f t="shared" si="5"/>
        <v>0</v>
      </c>
      <c r="R13" s="44">
        <f t="shared" si="2"/>
        <v>0</v>
      </c>
      <c r="S13" s="182">
        <f>R13-Q13</f>
        <v>0</v>
      </c>
      <c r="T13" s="48">
        <f t="shared" si="7"/>
        <v>-99124.783950957863</v>
      </c>
      <c r="U13" s="44">
        <f t="shared" si="7"/>
        <v>35880.158550574706</v>
      </c>
      <c r="V13" s="182">
        <f t="shared" si="8"/>
        <v>135004.94250153255</v>
      </c>
    </row>
    <row r="14" spans="1:22" x14ac:dyDescent="0.25">
      <c r="A14" s="186" t="s">
        <v>107</v>
      </c>
      <c r="B14" s="585">
        <f>SUM(B4:B13)</f>
        <v>0</v>
      </c>
      <c r="C14" s="585">
        <f t="shared" ref="C14:P14" si="10">SUM(C4:C13)</f>
        <v>0</v>
      </c>
      <c r="D14" s="586">
        <f t="shared" si="10"/>
        <v>0</v>
      </c>
      <c r="E14" s="585">
        <f t="shared" si="10"/>
        <v>0</v>
      </c>
      <c r="F14" s="587">
        <f t="shared" si="10"/>
        <v>0</v>
      </c>
      <c r="G14" s="586">
        <f t="shared" si="10"/>
        <v>0</v>
      </c>
      <c r="H14" s="585">
        <f t="shared" si="10"/>
        <v>0</v>
      </c>
      <c r="I14" s="587">
        <f t="shared" si="10"/>
        <v>1004676.2624999998</v>
      </c>
      <c r="J14" s="586">
        <f t="shared" si="10"/>
        <v>1004676.2624999998</v>
      </c>
      <c r="K14" s="585">
        <f t="shared" si="10"/>
        <v>0</v>
      </c>
      <c r="L14" s="585">
        <f t="shared" si="10"/>
        <v>0</v>
      </c>
      <c r="M14" s="586">
        <f t="shared" si="10"/>
        <v>0</v>
      </c>
      <c r="N14" s="587">
        <f t="shared" si="10"/>
        <v>-995796.83154636004</v>
      </c>
      <c r="O14" s="587">
        <f t="shared" si="10"/>
        <v>-638500.96032367821</v>
      </c>
      <c r="P14" s="588">
        <f t="shared" si="10"/>
        <v>357295.87122268201</v>
      </c>
      <c r="Q14" s="589">
        <f t="shared" ref="Q14:V14" si="11">SUM(Q4:Q13)</f>
        <v>0</v>
      </c>
      <c r="R14" s="587">
        <f t="shared" si="11"/>
        <v>0</v>
      </c>
      <c r="S14" s="590">
        <f t="shared" si="11"/>
        <v>0</v>
      </c>
      <c r="T14" s="589">
        <f t="shared" si="11"/>
        <v>-995796.83154636004</v>
      </c>
      <c r="U14" s="587">
        <f t="shared" si="11"/>
        <v>366175.30217632186</v>
      </c>
      <c r="V14" s="591">
        <f t="shared" si="11"/>
        <v>1361972.133722682</v>
      </c>
    </row>
    <row r="15" spans="1:22" ht="15.75" thickBot="1" x14ac:dyDescent="0.3">
      <c r="A15" s="187" t="s">
        <v>162</v>
      </c>
      <c r="B15" s="592"/>
      <c r="C15" s="592"/>
      <c r="D15" s="593">
        <f>D4+NPV(Faktory!$D$5,'Prínosy - Agendové IS'!D5:D13)</f>
        <v>0</v>
      </c>
      <c r="E15" s="594"/>
      <c r="F15" s="595"/>
      <c r="G15" s="593">
        <f>G4+NPV(Faktory!$D$3,'Prínosy - Agendové IS'!G5:G13)</f>
        <v>0</v>
      </c>
      <c r="H15" s="594"/>
      <c r="I15" s="595"/>
      <c r="J15" s="593">
        <f>J4+NPV(Faktory!$D$5,'Prínosy - Agendové IS'!J5:J13)</f>
        <v>812836.3180199588</v>
      </c>
      <c r="K15" s="592"/>
      <c r="L15" s="592"/>
      <c r="M15" s="593">
        <f>M4+NPV(Faktory!$D$5,'Prínosy - Agendové IS'!M5:M13)</f>
        <v>0</v>
      </c>
      <c r="N15" s="595"/>
      <c r="O15" s="595"/>
      <c r="P15" s="596">
        <f>P4+NPV(Faktory!$D$5,'Prínosy - Agendové IS'!P5:P13)</f>
        <v>292490.24295008957</v>
      </c>
      <c r="Q15" s="597"/>
      <c r="R15" s="595"/>
      <c r="S15" s="593">
        <f>S4+NPV(Faktory!$D$5,'Prínosy - Agendové IS'!S5:S13)</f>
        <v>0</v>
      </c>
      <c r="T15" s="597"/>
      <c r="U15" s="595"/>
      <c r="V15" s="593">
        <f>V4+NPV(Faktory!$D$5,'Prínosy - Agendové IS'!V5:V13)</f>
        <v>1105326.5609700482</v>
      </c>
    </row>
    <row r="17" spans="2:2" x14ac:dyDescent="0.25">
      <c r="B17" s="108" t="s">
        <v>176</v>
      </c>
    </row>
    <row r="38" spans="15:15" x14ac:dyDescent="0.2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zoomScale="60" zoomScaleNormal="80" workbookViewId="0">
      <selection activeCell="L4" sqref="L4"/>
    </sheetView>
  </sheetViews>
  <sheetFormatPr defaultColWidth="8.85546875" defaultRowHeight="15" x14ac:dyDescent="0.25"/>
  <cols>
    <col min="2" max="2" width="14.28515625" customWidth="1"/>
    <col min="3" max="3" width="15.85546875" bestFit="1" customWidth="1"/>
    <col min="4" max="4" width="16.7109375" bestFit="1" customWidth="1"/>
    <col min="5" max="6" width="13.42578125" bestFit="1" customWidth="1"/>
    <col min="7" max="7" width="16.7109375" bestFit="1" customWidth="1"/>
    <col min="8" max="8" width="14.42578125" bestFit="1" customWidth="1"/>
    <col min="9" max="9" width="13.42578125" bestFit="1" customWidth="1"/>
    <col min="10" max="10" width="16.7109375" bestFit="1" customWidth="1"/>
    <col min="11" max="16" width="16.7109375" customWidth="1"/>
    <col min="17" max="17" width="18" bestFit="1" customWidth="1"/>
    <col min="18" max="18" width="15.85546875" bestFit="1" customWidth="1"/>
    <col min="19" max="19" width="18.7109375" bestFit="1" customWidth="1"/>
    <col min="20" max="21" width="17" bestFit="1" customWidth="1"/>
    <col min="22" max="22" width="17.28515625" bestFit="1" customWidth="1"/>
  </cols>
  <sheetData>
    <row r="1" spans="1:23" ht="15.75" customHeight="1" thickBot="1" x14ac:dyDescent="0.3">
      <c r="A1" s="38"/>
      <c r="B1" s="718" t="s">
        <v>189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20"/>
      <c r="N1" s="718" t="s">
        <v>320</v>
      </c>
      <c r="O1" s="719"/>
      <c r="P1" s="720"/>
      <c r="Q1" s="717" t="s">
        <v>69</v>
      </c>
      <c r="R1" s="717"/>
      <c r="S1" s="717"/>
      <c r="T1" s="694" t="s">
        <v>70</v>
      </c>
      <c r="U1" s="695"/>
      <c r="V1" s="696"/>
    </row>
    <row r="2" spans="1:23" ht="15.75" customHeight="1" thickBot="1" x14ac:dyDescent="0.3">
      <c r="A2" s="8"/>
      <c r="B2" s="695" t="s">
        <v>66</v>
      </c>
      <c r="C2" s="695"/>
      <c r="D2" s="696"/>
      <c r="E2" s="695" t="s">
        <v>67</v>
      </c>
      <c r="F2" s="695"/>
      <c r="G2" s="696"/>
      <c r="H2" s="695" t="s">
        <v>109</v>
      </c>
      <c r="I2" s="695"/>
      <c r="J2" s="696"/>
      <c r="K2" s="695" t="s">
        <v>355</v>
      </c>
      <c r="L2" s="695"/>
      <c r="M2" s="696"/>
      <c r="N2" s="695"/>
      <c r="O2" s="695"/>
      <c r="P2" s="696"/>
      <c r="Q2" s="695" t="s">
        <v>68</v>
      </c>
      <c r="R2" s="695"/>
      <c r="S2" s="696"/>
      <c r="T2" s="8"/>
      <c r="U2" s="8"/>
      <c r="V2" s="39"/>
    </row>
    <row r="3" spans="1:23" ht="19.350000000000001" customHeight="1" thickBot="1" x14ac:dyDescent="0.3">
      <c r="A3" s="41" t="s">
        <v>23</v>
      </c>
      <c r="B3" s="42" t="s">
        <v>234</v>
      </c>
      <c r="C3" s="42" t="s">
        <v>173</v>
      </c>
      <c r="D3" s="43" t="s">
        <v>24</v>
      </c>
      <c r="E3" s="42" t="s">
        <v>234</v>
      </c>
      <c r="F3" s="42" t="s">
        <v>173</v>
      </c>
      <c r="G3" s="43" t="s">
        <v>24</v>
      </c>
      <c r="H3" s="42" t="s">
        <v>234</v>
      </c>
      <c r="I3" s="42" t="s">
        <v>173</v>
      </c>
      <c r="J3" s="43" t="s">
        <v>24</v>
      </c>
      <c r="K3" s="42" t="s">
        <v>234</v>
      </c>
      <c r="L3" s="42" t="s">
        <v>173</v>
      </c>
      <c r="M3" s="43" t="s">
        <v>24</v>
      </c>
      <c r="N3" s="42" t="s">
        <v>234</v>
      </c>
      <c r="O3" s="42" t="s">
        <v>173</v>
      </c>
      <c r="P3" s="43" t="s">
        <v>24</v>
      </c>
      <c r="Q3" s="42" t="s">
        <v>234</v>
      </c>
      <c r="R3" s="42" t="s">
        <v>173</v>
      </c>
      <c r="S3" s="43" t="s">
        <v>24</v>
      </c>
      <c r="T3" s="42" t="s">
        <v>234</v>
      </c>
      <c r="U3" s="42" t="s">
        <v>173</v>
      </c>
      <c r="V3" s="43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260000</v>
      </c>
      <c r="I4" s="26">
        <f>(TCO!D$9*(1+$W$5))+TCO!D$10</f>
        <v>1028830.96</v>
      </c>
      <c r="J4" s="34">
        <f>I4-H4</f>
        <v>768830.96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50000.000000000007</v>
      </c>
      <c r="P4" s="34">
        <f>O4-N4</f>
        <v>50000.000000000007</v>
      </c>
      <c r="Q4" s="27">
        <f>'Parametre - Agendové IS'!D107</f>
        <v>42131</v>
      </c>
      <c r="R4" s="27">
        <f>'Parametre - Agendové IS'!E107</f>
        <v>0</v>
      </c>
      <c r="S4" s="34">
        <f t="shared" ref="S4:S13" si="0">IF(ISERR(R4-Q4),"-",R4-Q4)</f>
        <v>-42131</v>
      </c>
      <c r="T4" s="26">
        <f>SUM(B4,E4,H4,K4,N4,Q4)</f>
        <v>302131</v>
      </c>
      <c r="U4" s="26">
        <f>((C4+F4+L4+O4+I4)*(1+$W$4))+R4</f>
        <v>1078830.96</v>
      </c>
      <c r="V4" s="34">
        <f>U4-T4</f>
        <v>776699.96</v>
      </c>
      <c r="W4" s="226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260000</v>
      </c>
      <c r="I5" s="26">
        <f>(TCO!E$9*(1+$W$5))+TCO!E$10</f>
        <v>1552662.06</v>
      </c>
      <c r="J5" s="29">
        <f t="shared" ref="J5:J13" si="3">I5-H5</f>
        <v>1292662.06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100000.00000000001</v>
      </c>
      <c r="P5" s="29">
        <f t="shared" ref="P5:P13" si="5">O5-N5</f>
        <v>100000.00000000001</v>
      </c>
      <c r="Q5" s="27">
        <f>'Parametre - Agendové IS'!D108</f>
        <v>42043.984864300626</v>
      </c>
      <c r="R5" s="27">
        <f>'Parametre - Agendové IS'!E108</f>
        <v>0</v>
      </c>
      <c r="S5" s="29">
        <f t="shared" si="0"/>
        <v>-42043.984864300626</v>
      </c>
      <c r="T5" s="26">
        <f t="shared" ref="T5:T13" si="6">SUM(B5,E5,H5,K5,N5,Q5)</f>
        <v>302043.98486430064</v>
      </c>
      <c r="U5" s="26">
        <f t="shared" ref="U5:U13" si="7">((C5+F5+L5+O5+I5)*(1+$W$4))+R5</f>
        <v>1652662.06</v>
      </c>
      <c r="V5" s="29">
        <f t="shared" ref="V5:V13" si="8">U5-T5</f>
        <v>1350618.0751356995</v>
      </c>
      <c r="W5" s="226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260000</v>
      </c>
      <c r="I6" s="26">
        <f>(TCO!F$9*(1+$W$5))+TCO!F$10</f>
        <v>346710.66000000003</v>
      </c>
      <c r="J6" s="29">
        <f t="shared" si="3"/>
        <v>86710.660000000033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50000.000000000007</v>
      </c>
      <c r="P6" s="29">
        <f t="shared" si="5"/>
        <v>50000.000000000007</v>
      </c>
      <c r="Q6" s="27">
        <f>'Parametre - Agendové IS'!D109</f>
        <v>42029.245824634658</v>
      </c>
      <c r="R6" s="27">
        <f>'Parametre - Agendové IS'!E109</f>
        <v>0</v>
      </c>
      <c r="S6" s="29">
        <f t="shared" si="0"/>
        <v>-42029.245824634658</v>
      </c>
      <c r="T6" s="26">
        <f t="shared" si="6"/>
        <v>302029.24582463468</v>
      </c>
      <c r="U6" s="26">
        <f t="shared" si="7"/>
        <v>396710.66000000003</v>
      </c>
      <c r="V6" s="29">
        <f t="shared" si="8"/>
        <v>94681.414175365353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260000</v>
      </c>
      <c r="I7" s="26">
        <f>(TCO!G$9*(1+$W$5))+TCO!G$10</f>
        <v>140000</v>
      </c>
      <c r="J7" s="29">
        <f t="shared" si="3"/>
        <v>-120000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41940.756784968682</v>
      </c>
      <c r="R7" s="27">
        <f>'Parametre - Agendové IS'!E110</f>
        <v>0</v>
      </c>
      <c r="S7" s="29">
        <f t="shared" si="0"/>
        <v>-41940.756784968682</v>
      </c>
      <c r="T7" s="26">
        <f t="shared" si="6"/>
        <v>301940.75678496866</v>
      </c>
      <c r="U7" s="26">
        <f t="shared" si="7"/>
        <v>140000</v>
      </c>
      <c r="V7" s="29">
        <f t="shared" si="8"/>
        <v>-161940.75678496866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260000</v>
      </c>
      <c r="I8" s="26">
        <f>(TCO!H$9*(1+$W$5))+TCO!H$10</f>
        <v>140000</v>
      </c>
      <c r="J8" s="29">
        <f t="shared" si="3"/>
        <v>-120000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41940.756784968682</v>
      </c>
      <c r="R8" s="27">
        <f>'Parametre - Agendové IS'!E111</f>
        <v>0</v>
      </c>
      <c r="S8" s="29">
        <f t="shared" si="0"/>
        <v>-41940.756784968682</v>
      </c>
      <c r="T8" s="26">
        <f t="shared" si="6"/>
        <v>301940.75678496866</v>
      </c>
      <c r="U8" s="26">
        <f t="shared" si="7"/>
        <v>140000</v>
      </c>
      <c r="V8" s="29">
        <f t="shared" si="8"/>
        <v>-161940.75678496866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260000</v>
      </c>
      <c r="I9" s="26">
        <f>(TCO!I$9*(1+$W$5))+TCO!I$10</f>
        <v>140000</v>
      </c>
      <c r="J9" s="29">
        <f t="shared" si="3"/>
        <v>-120000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41793.278705636745</v>
      </c>
      <c r="R9" s="27">
        <f>'Parametre - Agendové IS'!E112</f>
        <v>0</v>
      </c>
      <c r="S9" s="29">
        <f t="shared" si="0"/>
        <v>-41793.278705636745</v>
      </c>
      <c r="T9" s="26">
        <f t="shared" si="6"/>
        <v>301793.27870563674</v>
      </c>
      <c r="U9" s="26">
        <f t="shared" si="7"/>
        <v>140000</v>
      </c>
      <c r="V9" s="29">
        <f t="shared" si="8"/>
        <v>-161793.27870563674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260000</v>
      </c>
      <c r="I10" s="26">
        <f>(TCO!J$9*(1+$W$5))+TCO!J$10</f>
        <v>140000</v>
      </c>
      <c r="J10" s="29">
        <f t="shared" si="3"/>
        <v>-120000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41690.028705636745</v>
      </c>
      <c r="R10" s="27">
        <f>'Parametre - Agendové IS'!E113</f>
        <v>0</v>
      </c>
      <c r="S10" s="29">
        <f t="shared" si="0"/>
        <v>-41690.028705636745</v>
      </c>
      <c r="T10" s="26">
        <f t="shared" si="6"/>
        <v>301690.02870563674</v>
      </c>
      <c r="U10" s="26">
        <f t="shared" si="7"/>
        <v>140000</v>
      </c>
      <c r="V10" s="29">
        <f t="shared" si="8"/>
        <v>-161690.02870563674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260000</v>
      </c>
      <c r="I11" s="26">
        <f>(TCO!K$9*(1+$W$5))+TCO!K$10</f>
        <v>140000</v>
      </c>
      <c r="J11" s="29">
        <f t="shared" si="3"/>
        <v>-120000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41601.539665970769</v>
      </c>
      <c r="R11" s="27">
        <f>'Parametre - Agendové IS'!E114</f>
        <v>0</v>
      </c>
      <c r="S11" s="29">
        <f t="shared" si="0"/>
        <v>-41601.539665970769</v>
      </c>
      <c r="T11" s="26">
        <f t="shared" si="6"/>
        <v>301601.53966597078</v>
      </c>
      <c r="U11" s="26">
        <f t="shared" si="7"/>
        <v>140000</v>
      </c>
      <c r="V11" s="29">
        <f t="shared" si="8"/>
        <v>-161601.53966597078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260000</v>
      </c>
      <c r="I12" s="26">
        <f>(TCO!L$9*(1+$W$5))+TCO!L$10</f>
        <v>140000</v>
      </c>
      <c r="J12" s="29">
        <f t="shared" si="3"/>
        <v>-120000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41601.539665970769</v>
      </c>
      <c r="R12" s="27">
        <f>'Parametre - Agendové IS'!E115</f>
        <v>0</v>
      </c>
      <c r="S12" s="29">
        <f t="shared" si="0"/>
        <v>-41601.539665970769</v>
      </c>
      <c r="T12" s="26">
        <f t="shared" si="6"/>
        <v>301601.53966597078</v>
      </c>
      <c r="U12" s="26">
        <f t="shared" si="7"/>
        <v>140000</v>
      </c>
      <c r="V12" s="29">
        <f t="shared" si="8"/>
        <v>-161601.53966597078</v>
      </c>
    </row>
    <row r="13" spans="1:23" ht="15.75" thickBot="1" x14ac:dyDescent="0.3">
      <c r="A13" s="40" t="s">
        <v>34</v>
      </c>
      <c r="B13" s="44">
        <f>TCO!M26+TCO!M27</f>
        <v>0</v>
      </c>
      <c r="C13" s="44">
        <f>(TCO!M$12*(1+$W$5))+TCO!M$13</f>
        <v>0</v>
      </c>
      <c r="D13" s="182">
        <f t="shared" si="1"/>
        <v>0</v>
      </c>
      <c r="E13" s="48">
        <f>TCO!M22+TCO!M23</f>
        <v>0</v>
      </c>
      <c r="F13" s="44">
        <f>(TCO!M$7*(1+$W$5))+TCO!M$8</f>
        <v>0</v>
      </c>
      <c r="G13" s="182">
        <f t="shared" si="2"/>
        <v>0</v>
      </c>
      <c r="H13" s="44">
        <f>TCO!M24+TCO!M25</f>
        <v>260000</v>
      </c>
      <c r="I13" s="44">
        <f>(TCO!M$9*(1+$W$5))+TCO!M$10</f>
        <v>140000</v>
      </c>
      <c r="J13" s="182">
        <f t="shared" si="3"/>
        <v>-120000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41601.539665970769</v>
      </c>
      <c r="R13" s="48">
        <f>'Parametre - Agendové IS'!E116</f>
        <v>0</v>
      </c>
      <c r="S13" s="182">
        <f t="shared" si="0"/>
        <v>-41601.539665970769</v>
      </c>
      <c r="T13" s="26">
        <f t="shared" si="6"/>
        <v>301601.53966597078</v>
      </c>
      <c r="U13" s="26">
        <f t="shared" si="7"/>
        <v>140000</v>
      </c>
      <c r="V13" s="182">
        <f t="shared" si="8"/>
        <v>-161601.53966597078</v>
      </c>
    </row>
    <row r="14" spans="1:23" x14ac:dyDescent="0.25">
      <c r="A14" s="598" t="s">
        <v>107</v>
      </c>
      <c r="B14" s="589">
        <f>SUM(B4:B13)</f>
        <v>0</v>
      </c>
      <c r="C14" s="587">
        <f t="shared" ref="C14:S14" si="9">SUM(C4:C13)</f>
        <v>0</v>
      </c>
      <c r="D14" s="586">
        <f t="shared" si="9"/>
        <v>0</v>
      </c>
      <c r="E14" s="589">
        <f t="shared" si="9"/>
        <v>0</v>
      </c>
      <c r="F14" s="587">
        <f t="shared" si="9"/>
        <v>0</v>
      </c>
      <c r="G14" s="586">
        <f t="shared" si="9"/>
        <v>0</v>
      </c>
      <c r="H14" s="589">
        <f t="shared" si="9"/>
        <v>2600000</v>
      </c>
      <c r="I14" s="587">
        <f t="shared" si="9"/>
        <v>3908203.68</v>
      </c>
      <c r="J14" s="586">
        <f t="shared" si="9"/>
        <v>1308203.6800000002</v>
      </c>
      <c r="K14" s="589">
        <f t="shared" ref="K14:P14" si="10">SUM(K4:K13)</f>
        <v>0</v>
      </c>
      <c r="L14" s="587">
        <f t="shared" si="10"/>
        <v>0</v>
      </c>
      <c r="M14" s="586">
        <f t="shared" si="10"/>
        <v>0</v>
      </c>
      <c r="N14" s="589">
        <f t="shared" si="10"/>
        <v>0</v>
      </c>
      <c r="O14" s="587">
        <f t="shared" si="10"/>
        <v>200000.00000000003</v>
      </c>
      <c r="P14" s="586">
        <f t="shared" si="10"/>
        <v>200000.00000000003</v>
      </c>
      <c r="Q14" s="589">
        <f t="shared" si="9"/>
        <v>418373.6706680585</v>
      </c>
      <c r="R14" s="587">
        <f t="shared" si="9"/>
        <v>0</v>
      </c>
      <c r="S14" s="586">
        <f t="shared" si="9"/>
        <v>-418373.6706680585</v>
      </c>
      <c r="T14" s="599">
        <f>SUM(T4:T13)</f>
        <v>3018373.670668059</v>
      </c>
      <c r="U14" s="600">
        <f>SUM(U4:U13)</f>
        <v>4108203.68</v>
      </c>
      <c r="V14" s="601">
        <f>SUM(V4:V13)</f>
        <v>1089830.0093319418</v>
      </c>
    </row>
    <row r="15" spans="1:23" ht="15.75" thickBot="1" x14ac:dyDescent="0.3">
      <c r="A15" s="598" t="s">
        <v>162</v>
      </c>
      <c r="B15" s="597"/>
      <c r="C15" s="595"/>
      <c r="D15" s="593">
        <f>D4+NPV(Faktory!$D$5,D5:D13)</f>
        <v>0</v>
      </c>
      <c r="E15" s="597"/>
      <c r="F15" s="595"/>
      <c r="G15" s="593">
        <f>G4+NPV(Faktory!$D$5,G5:G13)</f>
        <v>0</v>
      </c>
      <c r="H15" s="597"/>
      <c r="I15" s="595"/>
      <c r="J15" s="593">
        <f>J4+NPV(Faktory!$D$5,J5:J13)</f>
        <v>1448777.459149471</v>
      </c>
      <c r="K15" s="597"/>
      <c r="L15" s="595"/>
      <c r="M15" s="593">
        <f>M4+NPV(Faktory!$D$5,M5:M13)</f>
        <v>0</v>
      </c>
      <c r="N15" s="597"/>
      <c r="O15" s="595"/>
      <c r="P15" s="593">
        <f>P4+NPV(Faktory!$D$5,P5:P13)</f>
        <v>190589.56916099775</v>
      </c>
      <c r="Q15" s="597"/>
      <c r="R15" s="595"/>
      <c r="S15" s="593">
        <f>S4+NPV(Faktory!$D$5,S5:S13)</f>
        <v>-339425.01155463228</v>
      </c>
      <c r="T15" s="602"/>
      <c r="U15" s="603"/>
      <c r="V15" s="604">
        <f>V4+NPV(Faktory!$D$5,V5:V13)</f>
        <v>1299942.0167558368</v>
      </c>
    </row>
    <row r="16" spans="1:23" x14ac:dyDescent="0.25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 x14ac:dyDescent="0.25">
      <c r="A17" s="107"/>
      <c r="B17" s="108" t="s">
        <v>177</v>
      </c>
    </row>
    <row r="22" spans="1:2" x14ac:dyDescent="0.25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AB136"/>
  <sheetViews>
    <sheetView view="pageBreakPreview" zoomScale="60" zoomScaleNormal="80" workbookViewId="0">
      <pane ySplit="4" topLeftCell="A23" activePane="bottomLeft" state="frozen"/>
      <selection pane="bottomLeft" activeCell="G57" sqref="G57"/>
    </sheetView>
  </sheetViews>
  <sheetFormatPr defaultColWidth="9.140625" defaultRowHeight="15" x14ac:dyDescent="0.25"/>
  <cols>
    <col min="1" max="1" width="19.140625" style="403" customWidth="1"/>
    <col min="2" max="2" width="9.85546875" style="403" bestFit="1" customWidth="1"/>
    <col min="3" max="3" width="8.85546875" style="403" bestFit="1" customWidth="1"/>
    <col min="4" max="4" width="14.42578125" style="403" bestFit="1" customWidth="1"/>
    <col min="5" max="5" width="15.7109375" style="403" bestFit="1" customWidth="1"/>
    <col min="6" max="6" width="14.42578125" style="403" bestFit="1" customWidth="1"/>
    <col min="7" max="7" width="14.42578125" style="447" bestFit="1" customWidth="1"/>
    <col min="8" max="8" width="14.7109375" style="504" customWidth="1"/>
    <col min="9" max="9" width="14.42578125" style="447" bestFit="1" customWidth="1"/>
    <col min="10" max="10" width="12.85546875" style="403" bestFit="1" customWidth="1"/>
    <col min="11" max="11" width="14.42578125" style="403" bestFit="1" customWidth="1"/>
    <col min="12" max="12" width="12.85546875" style="403" bestFit="1" customWidth="1"/>
    <col min="13" max="13" width="10.28515625" style="505" customWidth="1"/>
    <col min="14" max="14" width="14.42578125" style="504" bestFit="1" customWidth="1"/>
    <col min="15" max="15" width="14.42578125" style="447" bestFit="1" customWidth="1"/>
    <col min="16" max="16" width="14.28515625" style="505" bestFit="1" customWidth="1"/>
    <col min="17" max="17" width="14.28515625" style="504" bestFit="1" customWidth="1"/>
    <col min="18" max="18" width="14.28515625" style="447" bestFit="1" customWidth="1"/>
    <col min="19" max="19" width="12.85546875" style="403" bestFit="1" customWidth="1"/>
    <col min="20" max="20" width="14.42578125" style="403" bestFit="1" customWidth="1"/>
    <col min="21" max="21" width="12.85546875" style="403" bestFit="1" customWidth="1"/>
    <col min="22" max="22" width="10.28515625" style="505" customWidth="1"/>
    <col min="23" max="23" width="14.42578125" style="504" bestFit="1" customWidth="1"/>
    <col min="24" max="24" width="14.42578125" style="641" bestFit="1" customWidth="1"/>
    <col min="25" max="25" width="10.28515625" style="505" customWidth="1"/>
    <col min="26" max="26" width="14.28515625" style="504" bestFit="1" customWidth="1"/>
    <col min="27" max="27" width="14.28515625" style="641" bestFit="1" customWidth="1"/>
    <col min="28" max="28" width="14.7109375" style="482" customWidth="1"/>
    <col min="29" max="31" width="9.140625" style="403"/>
    <col min="32" max="32" width="12.42578125" style="403" bestFit="1" customWidth="1"/>
    <col min="33" max="267" width="9.140625" style="403"/>
    <col min="268" max="268" width="1.7109375" style="403" customWidth="1"/>
    <col min="269" max="269" width="19.140625" style="403" customWidth="1"/>
    <col min="270" max="270" width="35.140625" style="403" customWidth="1"/>
    <col min="271" max="271" width="9.85546875" style="403" bestFit="1" customWidth="1"/>
    <col min="272" max="272" width="8.85546875" style="403" bestFit="1" customWidth="1"/>
    <col min="273" max="283" width="10.28515625" style="403" customWidth="1"/>
    <col min="284" max="523" width="9.140625" style="403"/>
    <col min="524" max="524" width="1.7109375" style="403" customWidth="1"/>
    <col min="525" max="525" width="19.140625" style="403" customWidth="1"/>
    <col min="526" max="526" width="35.140625" style="403" customWidth="1"/>
    <col min="527" max="527" width="9.85546875" style="403" bestFit="1" customWidth="1"/>
    <col min="528" max="528" width="8.85546875" style="403" bestFit="1" customWidth="1"/>
    <col min="529" max="539" width="10.28515625" style="403" customWidth="1"/>
    <col min="540" max="779" width="9.140625" style="403"/>
    <col min="780" max="780" width="1.7109375" style="403" customWidth="1"/>
    <col min="781" max="781" width="19.140625" style="403" customWidth="1"/>
    <col min="782" max="782" width="35.140625" style="403" customWidth="1"/>
    <col min="783" max="783" width="9.85546875" style="403" bestFit="1" customWidth="1"/>
    <col min="784" max="784" width="8.85546875" style="403" bestFit="1" customWidth="1"/>
    <col min="785" max="795" width="10.28515625" style="403" customWidth="1"/>
    <col min="796" max="1035" width="9.140625" style="403"/>
    <col min="1036" max="1036" width="1.7109375" style="403" customWidth="1"/>
    <col min="1037" max="1037" width="19.140625" style="403" customWidth="1"/>
    <col min="1038" max="1038" width="35.140625" style="403" customWidth="1"/>
    <col min="1039" max="1039" width="9.85546875" style="403" bestFit="1" customWidth="1"/>
    <col min="1040" max="1040" width="8.85546875" style="403" bestFit="1" customWidth="1"/>
    <col min="1041" max="1051" width="10.28515625" style="403" customWidth="1"/>
    <col min="1052" max="1291" width="9.140625" style="403"/>
    <col min="1292" max="1292" width="1.7109375" style="403" customWidth="1"/>
    <col min="1293" max="1293" width="19.140625" style="403" customWidth="1"/>
    <col min="1294" max="1294" width="35.140625" style="403" customWidth="1"/>
    <col min="1295" max="1295" width="9.85546875" style="403" bestFit="1" customWidth="1"/>
    <col min="1296" max="1296" width="8.85546875" style="403" bestFit="1" customWidth="1"/>
    <col min="1297" max="1307" width="10.28515625" style="403" customWidth="1"/>
    <col min="1308" max="1547" width="9.140625" style="403"/>
    <col min="1548" max="1548" width="1.7109375" style="403" customWidth="1"/>
    <col min="1549" max="1549" width="19.140625" style="403" customWidth="1"/>
    <col min="1550" max="1550" width="35.140625" style="403" customWidth="1"/>
    <col min="1551" max="1551" width="9.85546875" style="403" bestFit="1" customWidth="1"/>
    <col min="1552" max="1552" width="8.85546875" style="403" bestFit="1" customWidth="1"/>
    <col min="1553" max="1563" width="10.28515625" style="403" customWidth="1"/>
    <col min="1564" max="1803" width="9.140625" style="403"/>
    <col min="1804" max="1804" width="1.7109375" style="403" customWidth="1"/>
    <col min="1805" max="1805" width="19.140625" style="403" customWidth="1"/>
    <col min="1806" max="1806" width="35.140625" style="403" customWidth="1"/>
    <col min="1807" max="1807" width="9.85546875" style="403" bestFit="1" customWidth="1"/>
    <col min="1808" max="1808" width="8.85546875" style="403" bestFit="1" customWidth="1"/>
    <col min="1809" max="1819" width="10.28515625" style="403" customWidth="1"/>
    <col min="1820" max="2059" width="9.140625" style="403"/>
    <col min="2060" max="2060" width="1.7109375" style="403" customWidth="1"/>
    <col min="2061" max="2061" width="19.140625" style="403" customWidth="1"/>
    <col min="2062" max="2062" width="35.140625" style="403" customWidth="1"/>
    <col min="2063" max="2063" width="9.85546875" style="403" bestFit="1" customWidth="1"/>
    <col min="2064" max="2064" width="8.85546875" style="403" bestFit="1" customWidth="1"/>
    <col min="2065" max="2075" width="10.28515625" style="403" customWidth="1"/>
    <col min="2076" max="2315" width="9.140625" style="403"/>
    <col min="2316" max="2316" width="1.7109375" style="403" customWidth="1"/>
    <col min="2317" max="2317" width="19.140625" style="403" customWidth="1"/>
    <col min="2318" max="2318" width="35.140625" style="403" customWidth="1"/>
    <col min="2319" max="2319" width="9.85546875" style="403" bestFit="1" customWidth="1"/>
    <col min="2320" max="2320" width="8.85546875" style="403" bestFit="1" customWidth="1"/>
    <col min="2321" max="2331" width="10.28515625" style="403" customWidth="1"/>
    <col min="2332" max="2571" width="9.140625" style="403"/>
    <col min="2572" max="2572" width="1.7109375" style="403" customWidth="1"/>
    <col min="2573" max="2573" width="19.140625" style="403" customWidth="1"/>
    <col min="2574" max="2574" width="35.140625" style="403" customWidth="1"/>
    <col min="2575" max="2575" width="9.85546875" style="403" bestFit="1" customWidth="1"/>
    <col min="2576" max="2576" width="8.85546875" style="403" bestFit="1" customWidth="1"/>
    <col min="2577" max="2587" width="10.28515625" style="403" customWidth="1"/>
    <col min="2588" max="2827" width="9.140625" style="403"/>
    <col min="2828" max="2828" width="1.7109375" style="403" customWidth="1"/>
    <col min="2829" max="2829" width="19.140625" style="403" customWidth="1"/>
    <col min="2830" max="2830" width="35.140625" style="403" customWidth="1"/>
    <col min="2831" max="2831" width="9.85546875" style="403" bestFit="1" customWidth="1"/>
    <col min="2832" max="2832" width="8.85546875" style="403" bestFit="1" customWidth="1"/>
    <col min="2833" max="2843" width="10.28515625" style="403" customWidth="1"/>
    <col min="2844" max="3083" width="9.140625" style="403"/>
    <col min="3084" max="3084" width="1.7109375" style="403" customWidth="1"/>
    <col min="3085" max="3085" width="19.140625" style="403" customWidth="1"/>
    <col min="3086" max="3086" width="35.140625" style="403" customWidth="1"/>
    <col min="3087" max="3087" width="9.85546875" style="403" bestFit="1" customWidth="1"/>
    <col min="3088" max="3088" width="8.85546875" style="403" bestFit="1" customWidth="1"/>
    <col min="3089" max="3099" width="10.28515625" style="403" customWidth="1"/>
    <col min="3100" max="3339" width="9.140625" style="403"/>
    <col min="3340" max="3340" width="1.7109375" style="403" customWidth="1"/>
    <col min="3341" max="3341" width="19.140625" style="403" customWidth="1"/>
    <col min="3342" max="3342" width="35.140625" style="403" customWidth="1"/>
    <col min="3343" max="3343" width="9.85546875" style="403" bestFit="1" customWidth="1"/>
    <col min="3344" max="3344" width="8.85546875" style="403" bestFit="1" customWidth="1"/>
    <col min="3345" max="3355" width="10.28515625" style="403" customWidth="1"/>
    <col min="3356" max="3595" width="9.140625" style="403"/>
    <col min="3596" max="3596" width="1.7109375" style="403" customWidth="1"/>
    <col min="3597" max="3597" width="19.140625" style="403" customWidth="1"/>
    <col min="3598" max="3598" width="35.140625" style="403" customWidth="1"/>
    <col min="3599" max="3599" width="9.85546875" style="403" bestFit="1" customWidth="1"/>
    <col min="3600" max="3600" width="8.85546875" style="403" bestFit="1" customWidth="1"/>
    <col min="3601" max="3611" width="10.28515625" style="403" customWidth="1"/>
    <col min="3612" max="3851" width="9.140625" style="403"/>
    <col min="3852" max="3852" width="1.7109375" style="403" customWidth="1"/>
    <col min="3853" max="3853" width="19.140625" style="403" customWidth="1"/>
    <col min="3854" max="3854" width="35.140625" style="403" customWidth="1"/>
    <col min="3855" max="3855" width="9.85546875" style="403" bestFit="1" customWidth="1"/>
    <col min="3856" max="3856" width="8.85546875" style="403" bestFit="1" customWidth="1"/>
    <col min="3857" max="3867" width="10.28515625" style="403" customWidth="1"/>
    <col min="3868" max="4107" width="9.140625" style="403"/>
    <col min="4108" max="4108" width="1.7109375" style="403" customWidth="1"/>
    <col min="4109" max="4109" width="19.140625" style="403" customWidth="1"/>
    <col min="4110" max="4110" width="35.140625" style="403" customWidth="1"/>
    <col min="4111" max="4111" width="9.85546875" style="403" bestFit="1" customWidth="1"/>
    <col min="4112" max="4112" width="8.85546875" style="403" bestFit="1" customWidth="1"/>
    <col min="4113" max="4123" width="10.28515625" style="403" customWidth="1"/>
    <col min="4124" max="4363" width="9.140625" style="403"/>
    <col min="4364" max="4364" width="1.7109375" style="403" customWidth="1"/>
    <col min="4365" max="4365" width="19.140625" style="403" customWidth="1"/>
    <col min="4366" max="4366" width="35.140625" style="403" customWidth="1"/>
    <col min="4367" max="4367" width="9.85546875" style="403" bestFit="1" customWidth="1"/>
    <col min="4368" max="4368" width="8.85546875" style="403" bestFit="1" customWidth="1"/>
    <col min="4369" max="4379" width="10.28515625" style="403" customWidth="1"/>
    <col min="4380" max="4619" width="9.140625" style="403"/>
    <col min="4620" max="4620" width="1.7109375" style="403" customWidth="1"/>
    <col min="4621" max="4621" width="19.140625" style="403" customWidth="1"/>
    <col min="4622" max="4622" width="35.140625" style="403" customWidth="1"/>
    <col min="4623" max="4623" width="9.85546875" style="403" bestFit="1" customWidth="1"/>
    <col min="4624" max="4624" width="8.85546875" style="403" bestFit="1" customWidth="1"/>
    <col min="4625" max="4635" width="10.28515625" style="403" customWidth="1"/>
    <col min="4636" max="4875" width="9.140625" style="403"/>
    <col min="4876" max="4876" width="1.7109375" style="403" customWidth="1"/>
    <col min="4877" max="4877" width="19.140625" style="403" customWidth="1"/>
    <col min="4878" max="4878" width="35.140625" style="403" customWidth="1"/>
    <col min="4879" max="4879" width="9.85546875" style="403" bestFit="1" customWidth="1"/>
    <col min="4880" max="4880" width="8.85546875" style="403" bestFit="1" customWidth="1"/>
    <col min="4881" max="4891" width="10.28515625" style="403" customWidth="1"/>
    <col min="4892" max="5131" width="9.140625" style="403"/>
    <col min="5132" max="5132" width="1.7109375" style="403" customWidth="1"/>
    <col min="5133" max="5133" width="19.140625" style="403" customWidth="1"/>
    <col min="5134" max="5134" width="35.140625" style="403" customWidth="1"/>
    <col min="5135" max="5135" width="9.85546875" style="403" bestFit="1" customWidth="1"/>
    <col min="5136" max="5136" width="8.85546875" style="403" bestFit="1" customWidth="1"/>
    <col min="5137" max="5147" width="10.28515625" style="403" customWidth="1"/>
    <col min="5148" max="5387" width="9.140625" style="403"/>
    <col min="5388" max="5388" width="1.7109375" style="403" customWidth="1"/>
    <col min="5389" max="5389" width="19.140625" style="403" customWidth="1"/>
    <col min="5390" max="5390" width="35.140625" style="403" customWidth="1"/>
    <col min="5391" max="5391" width="9.85546875" style="403" bestFit="1" customWidth="1"/>
    <col min="5392" max="5392" width="8.85546875" style="403" bestFit="1" customWidth="1"/>
    <col min="5393" max="5403" width="10.28515625" style="403" customWidth="1"/>
    <col min="5404" max="5643" width="9.140625" style="403"/>
    <col min="5644" max="5644" width="1.7109375" style="403" customWidth="1"/>
    <col min="5645" max="5645" width="19.140625" style="403" customWidth="1"/>
    <col min="5646" max="5646" width="35.140625" style="403" customWidth="1"/>
    <col min="5647" max="5647" width="9.85546875" style="403" bestFit="1" customWidth="1"/>
    <col min="5648" max="5648" width="8.85546875" style="403" bestFit="1" customWidth="1"/>
    <col min="5649" max="5659" width="10.28515625" style="403" customWidth="1"/>
    <col min="5660" max="5899" width="9.140625" style="403"/>
    <col min="5900" max="5900" width="1.7109375" style="403" customWidth="1"/>
    <col min="5901" max="5901" width="19.140625" style="403" customWidth="1"/>
    <col min="5902" max="5902" width="35.140625" style="403" customWidth="1"/>
    <col min="5903" max="5903" width="9.85546875" style="403" bestFit="1" customWidth="1"/>
    <col min="5904" max="5904" width="8.85546875" style="403" bestFit="1" customWidth="1"/>
    <col min="5905" max="5915" width="10.28515625" style="403" customWidth="1"/>
    <col min="5916" max="6155" width="9.140625" style="403"/>
    <col min="6156" max="6156" width="1.7109375" style="403" customWidth="1"/>
    <col min="6157" max="6157" width="19.140625" style="403" customWidth="1"/>
    <col min="6158" max="6158" width="35.140625" style="403" customWidth="1"/>
    <col min="6159" max="6159" width="9.85546875" style="403" bestFit="1" customWidth="1"/>
    <col min="6160" max="6160" width="8.85546875" style="403" bestFit="1" customWidth="1"/>
    <col min="6161" max="6171" width="10.28515625" style="403" customWidth="1"/>
    <col min="6172" max="6411" width="9.140625" style="403"/>
    <col min="6412" max="6412" width="1.7109375" style="403" customWidth="1"/>
    <col min="6413" max="6413" width="19.140625" style="403" customWidth="1"/>
    <col min="6414" max="6414" width="35.140625" style="403" customWidth="1"/>
    <col min="6415" max="6415" width="9.85546875" style="403" bestFit="1" customWidth="1"/>
    <col min="6416" max="6416" width="8.85546875" style="403" bestFit="1" customWidth="1"/>
    <col min="6417" max="6427" width="10.28515625" style="403" customWidth="1"/>
    <col min="6428" max="6667" width="9.140625" style="403"/>
    <col min="6668" max="6668" width="1.7109375" style="403" customWidth="1"/>
    <col min="6669" max="6669" width="19.140625" style="403" customWidth="1"/>
    <col min="6670" max="6670" width="35.140625" style="403" customWidth="1"/>
    <col min="6671" max="6671" width="9.85546875" style="403" bestFit="1" customWidth="1"/>
    <col min="6672" max="6672" width="8.85546875" style="403" bestFit="1" customWidth="1"/>
    <col min="6673" max="6683" width="10.28515625" style="403" customWidth="1"/>
    <col min="6684" max="6923" width="9.140625" style="403"/>
    <col min="6924" max="6924" width="1.7109375" style="403" customWidth="1"/>
    <col min="6925" max="6925" width="19.140625" style="403" customWidth="1"/>
    <col min="6926" max="6926" width="35.140625" style="403" customWidth="1"/>
    <col min="6927" max="6927" width="9.85546875" style="403" bestFit="1" customWidth="1"/>
    <col min="6928" max="6928" width="8.85546875" style="403" bestFit="1" customWidth="1"/>
    <col min="6929" max="6939" width="10.28515625" style="403" customWidth="1"/>
    <col min="6940" max="7179" width="9.140625" style="403"/>
    <col min="7180" max="7180" width="1.7109375" style="403" customWidth="1"/>
    <col min="7181" max="7181" width="19.140625" style="403" customWidth="1"/>
    <col min="7182" max="7182" width="35.140625" style="403" customWidth="1"/>
    <col min="7183" max="7183" width="9.85546875" style="403" bestFit="1" customWidth="1"/>
    <col min="7184" max="7184" width="8.85546875" style="403" bestFit="1" customWidth="1"/>
    <col min="7185" max="7195" width="10.28515625" style="403" customWidth="1"/>
    <col min="7196" max="7435" width="9.140625" style="403"/>
    <col min="7436" max="7436" width="1.7109375" style="403" customWidth="1"/>
    <col min="7437" max="7437" width="19.140625" style="403" customWidth="1"/>
    <col min="7438" max="7438" width="35.140625" style="403" customWidth="1"/>
    <col min="7439" max="7439" width="9.85546875" style="403" bestFit="1" customWidth="1"/>
    <col min="7440" max="7440" width="8.85546875" style="403" bestFit="1" customWidth="1"/>
    <col min="7441" max="7451" width="10.28515625" style="403" customWidth="1"/>
    <col min="7452" max="7691" width="9.140625" style="403"/>
    <col min="7692" max="7692" width="1.7109375" style="403" customWidth="1"/>
    <col min="7693" max="7693" width="19.140625" style="403" customWidth="1"/>
    <col min="7694" max="7694" width="35.140625" style="403" customWidth="1"/>
    <col min="7695" max="7695" width="9.85546875" style="403" bestFit="1" customWidth="1"/>
    <col min="7696" max="7696" width="8.85546875" style="403" bestFit="1" customWidth="1"/>
    <col min="7697" max="7707" width="10.28515625" style="403" customWidth="1"/>
    <col min="7708" max="7947" width="9.140625" style="403"/>
    <col min="7948" max="7948" width="1.7109375" style="403" customWidth="1"/>
    <col min="7949" max="7949" width="19.140625" style="403" customWidth="1"/>
    <col min="7950" max="7950" width="35.140625" style="403" customWidth="1"/>
    <col min="7951" max="7951" width="9.85546875" style="403" bestFit="1" customWidth="1"/>
    <col min="7952" max="7952" width="8.85546875" style="403" bestFit="1" customWidth="1"/>
    <col min="7953" max="7963" width="10.28515625" style="403" customWidth="1"/>
    <col min="7964" max="8203" width="9.140625" style="403"/>
    <col min="8204" max="8204" width="1.7109375" style="403" customWidth="1"/>
    <col min="8205" max="8205" width="19.140625" style="403" customWidth="1"/>
    <col min="8206" max="8206" width="35.140625" style="403" customWidth="1"/>
    <col min="8207" max="8207" width="9.85546875" style="403" bestFit="1" customWidth="1"/>
    <col min="8208" max="8208" width="8.85546875" style="403" bestFit="1" customWidth="1"/>
    <col min="8209" max="8219" width="10.28515625" style="403" customWidth="1"/>
    <col min="8220" max="8459" width="9.140625" style="403"/>
    <col min="8460" max="8460" width="1.7109375" style="403" customWidth="1"/>
    <col min="8461" max="8461" width="19.140625" style="403" customWidth="1"/>
    <col min="8462" max="8462" width="35.140625" style="403" customWidth="1"/>
    <col min="8463" max="8463" width="9.85546875" style="403" bestFit="1" customWidth="1"/>
    <col min="8464" max="8464" width="8.85546875" style="403" bestFit="1" customWidth="1"/>
    <col min="8465" max="8475" width="10.28515625" style="403" customWidth="1"/>
    <col min="8476" max="8715" width="9.140625" style="403"/>
    <col min="8716" max="8716" width="1.7109375" style="403" customWidth="1"/>
    <col min="8717" max="8717" width="19.140625" style="403" customWidth="1"/>
    <col min="8718" max="8718" width="35.140625" style="403" customWidth="1"/>
    <col min="8719" max="8719" width="9.85546875" style="403" bestFit="1" customWidth="1"/>
    <col min="8720" max="8720" width="8.85546875" style="403" bestFit="1" customWidth="1"/>
    <col min="8721" max="8731" width="10.28515625" style="403" customWidth="1"/>
    <col min="8732" max="8971" width="9.140625" style="403"/>
    <col min="8972" max="8972" width="1.7109375" style="403" customWidth="1"/>
    <col min="8973" max="8973" width="19.140625" style="403" customWidth="1"/>
    <col min="8974" max="8974" width="35.140625" style="403" customWidth="1"/>
    <col min="8975" max="8975" width="9.85546875" style="403" bestFit="1" customWidth="1"/>
    <col min="8976" max="8976" width="8.85546875" style="403" bestFit="1" customWidth="1"/>
    <col min="8977" max="8987" width="10.28515625" style="403" customWidth="1"/>
    <col min="8988" max="9227" width="9.140625" style="403"/>
    <col min="9228" max="9228" width="1.7109375" style="403" customWidth="1"/>
    <col min="9229" max="9229" width="19.140625" style="403" customWidth="1"/>
    <col min="9230" max="9230" width="35.140625" style="403" customWidth="1"/>
    <col min="9231" max="9231" width="9.85546875" style="403" bestFit="1" customWidth="1"/>
    <col min="9232" max="9232" width="8.85546875" style="403" bestFit="1" customWidth="1"/>
    <col min="9233" max="9243" width="10.28515625" style="403" customWidth="1"/>
    <col min="9244" max="9483" width="9.140625" style="403"/>
    <col min="9484" max="9484" width="1.7109375" style="403" customWidth="1"/>
    <col min="9485" max="9485" width="19.140625" style="403" customWidth="1"/>
    <col min="9486" max="9486" width="35.140625" style="403" customWidth="1"/>
    <col min="9487" max="9487" width="9.85546875" style="403" bestFit="1" customWidth="1"/>
    <col min="9488" max="9488" width="8.85546875" style="403" bestFit="1" customWidth="1"/>
    <col min="9489" max="9499" width="10.28515625" style="403" customWidth="1"/>
    <col min="9500" max="9739" width="9.140625" style="403"/>
    <col min="9740" max="9740" width="1.7109375" style="403" customWidth="1"/>
    <col min="9741" max="9741" width="19.140625" style="403" customWidth="1"/>
    <col min="9742" max="9742" width="35.140625" style="403" customWidth="1"/>
    <col min="9743" max="9743" width="9.85546875" style="403" bestFit="1" customWidth="1"/>
    <col min="9744" max="9744" width="8.85546875" style="403" bestFit="1" customWidth="1"/>
    <col min="9745" max="9755" width="10.28515625" style="403" customWidth="1"/>
    <col min="9756" max="9995" width="9.140625" style="403"/>
    <col min="9996" max="9996" width="1.7109375" style="403" customWidth="1"/>
    <col min="9997" max="9997" width="19.140625" style="403" customWidth="1"/>
    <col min="9998" max="9998" width="35.140625" style="403" customWidth="1"/>
    <col min="9999" max="9999" width="9.85546875" style="403" bestFit="1" customWidth="1"/>
    <col min="10000" max="10000" width="8.85546875" style="403" bestFit="1" customWidth="1"/>
    <col min="10001" max="10011" width="10.28515625" style="403" customWidth="1"/>
    <col min="10012" max="10251" width="9.140625" style="403"/>
    <col min="10252" max="10252" width="1.7109375" style="403" customWidth="1"/>
    <col min="10253" max="10253" width="19.140625" style="403" customWidth="1"/>
    <col min="10254" max="10254" width="35.140625" style="403" customWidth="1"/>
    <col min="10255" max="10255" width="9.85546875" style="403" bestFit="1" customWidth="1"/>
    <col min="10256" max="10256" width="8.85546875" style="403" bestFit="1" customWidth="1"/>
    <col min="10257" max="10267" width="10.28515625" style="403" customWidth="1"/>
    <col min="10268" max="10507" width="9.140625" style="403"/>
    <col min="10508" max="10508" width="1.7109375" style="403" customWidth="1"/>
    <col min="10509" max="10509" width="19.140625" style="403" customWidth="1"/>
    <col min="10510" max="10510" width="35.140625" style="403" customWidth="1"/>
    <col min="10511" max="10511" width="9.85546875" style="403" bestFit="1" customWidth="1"/>
    <col min="10512" max="10512" width="8.85546875" style="403" bestFit="1" customWidth="1"/>
    <col min="10513" max="10523" width="10.28515625" style="403" customWidth="1"/>
    <col min="10524" max="10763" width="9.140625" style="403"/>
    <col min="10764" max="10764" width="1.7109375" style="403" customWidth="1"/>
    <col min="10765" max="10765" width="19.140625" style="403" customWidth="1"/>
    <col min="10766" max="10766" width="35.140625" style="403" customWidth="1"/>
    <col min="10767" max="10767" width="9.85546875" style="403" bestFit="1" customWidth="1"/>
    <col min="10768" max="10768" width="8.85546875" style="403" bestFit="1" customWidth="1"/>
    <col min="10769" max="10779" width="10.28515625" style="403" customWidth="1"/>
    <col min="10780" max="11019" width="9.140625" style="403"/>
    <col min="11020" max="11020" width="1.7109375" style="403" customWidth="1"/>
    <col min="11021" max="11021" width="19.140625" style="403" customWidth="1"/>
    <col min="11022" max="11022" width="35.140625" style="403" customWidth="1"/>
    <col min="11023" max="11023" width="9.85546875" style="403" bestFit="1" customWidth="1"/>
    <col min="11024" max="11024" width="8.85546875" style="403" bestFit="1" customWidth="1"/>
    <col min="11025" max="11035" width="10.28515625" style="403" customWidth="1"/>
    <col min="11036" max="11275" width="9.140625" style="403"/>
    <col min="11276" max="11276" width="1.7109375" style="403" customWidth="1"/>
    <col min="11277" max="11277" width="19.140625" style="403" customWidth="1"/>
    <col min="11278" max="11278" width="35.140625" style="403" customWidth="1"/>
    <col min="11279" max="11279" width="9.85546875" style="403" bestFit="1" customWidth="1"/>
    <col min="11280" max="11280" width="8.85546875" style="403" bestFit="1" customWidth="1"/>
    <col min="11281" max="11291" width="10.28515625" style="403" customWidth="1"/>
    <col min="11292" max="11531" width="9.140625" style="403"/>
    <col min="11532" max="11532" width="1.7109375" style="403" customWidth="1"/>
    <col min="11533" max="11533" width="19.140625" style="403" customWidth="1"/>
    <col min="11534" max="11534" width="35.140625" style="403" customWidth="1"/>
    <col min="11535" max="11535" width="9.85546875" style="403" bestFit="1" customWidth="1"/>
    <col min="11536" max="11536" width="8.85546875" style="403" bestFit="1" customWidth="1"/>
    <col min="11537" max="11547" width="10.28515625" style="403" customWidth="1"/>
    <col min="11548" max="11787" width="9.140625" style="403"/>
    <col min="11788" max="11788" width="1.7109375" style="403" customWidth="1"/>
    <col min="11789" max="11789" width="19.140625" style="403" customWidth="1"/>
    <col min="11790" max="11790" width="35.140625" style="403" customWidth="1"/>
    <col min="11791" max="11791" width="9.85546875" style="403" bestFit="1" customWidth="1"/>
    <col min="11792" max="11792" width="8.85546875" style="403" bestFit="1" customWidth="1"/>
    <col min="11793" max="11803" width="10.28515625" style="403" customWidth="1"/>
    <col min="11804" max="12043" width="9.140625" style="403"/>
    <col min="12044" max="12044" width="1.7109375" style="403" customWidth="1"/>
    <col min="12045" max="12045" width="19.140625" style="403" customWidth="1"/>
    <col min="12046" max="12046" width="35.140625" style="403" customWidth="1"/>
    <col min="12047" max="12047" width="9.85546875" style="403" bestFit="1" customWidth="1"/>
    <col min="12048" max="12048" width="8.85546875" style="403" bestFit="1" customWidth="1"/>
    <col min="12049" max="12059" width="10.28515625" style="403" customWidth="1"/>
    <col min="12060" max="12299" width="9.140625" style="403"/>
    <col min="12300" max="12300" width="1.7109375" style="403" customWidth="1"/>
    <col min="12301" max="12301" width="19.140625" style="403" customWidth="1"/>
    <col min="12302" max="12302" width="35.140625" style="403" customWidth="1"/>
    <col min="12303" max="12303" width="9.85546875" style="403" bestFit="1" customWidth="1"/>
    <col min="12304" max="12304" width="8.85546875" style="403" bestFit="1" customWidth="1"/>
    <col min="12305" max="12315" width="10.28515625" style="403" customWidth="1"/>
    <col min="12316" max="12555" width="9.140625" style="403"/>
    <col min="12556" max="12556" width="1.7109375" style="403" customWidth="1"/>
    <col min="12557" max="12557" width="19.140625" style="403" customWidth="1"/>
    <col min="12558" max="12558" width="35.140625" style="403" customWidth="1"/>
    <col min="12559" max="12559" width="9.85546875" style="403" bestFit="1" customWidth="1"/>
    <col min="12560" max="12560" width="8.85546875" style="403" bestFit="1" customWidth="1"/>
    <col min="12561" max="12571" width="10.28515625" style="403" customWidth="1"/>
    <col min="12572" max="12811" width="9.140625" style="403"/>
    <col min="12812" max="12812" width="1.7109375" style="403" customWidth="1"/>
    <col min="12813" max="12813" width="19.140625" style="403" customWidth="1"/>
    <col min="12814" max="12814" width="35.140625" style="403" customWidth="1"/>
    <col min="12815" max="12815" width="9.85546875" style="403" bestFit="1" customWidth="1"/>
    <col min="12816" max="12816" width="8.85546875" style="403" bestFit="1" customWidth="1"/>
    <col min="12817" max="12827" width="10.28515625" style="403" customWidth="1"/>
    <col min="12828" max="13067" width="9.140625" style="403"/>
    <col min="13068" max="13068" width="1.7109375" style="403" customWidth="1"/>
    <col min="13069" max="13069" width="19.140625" style="403" customWidth="1"/>
    <col min="13070" max="13070" width="35.140625" style="403" customWidth="1"/>
    <col min="13071" max="13071" width="9.85546875" style="403" bestFit="1" customWidth="1"/>
    <col min="13072" max="13072" width="8.85546875" style="403" bestFit="1" customWidth="1"/>
    <col min="13073" max="13083" width="10.28515625" style="403" customWidth="1"/>
    <col min="13084" max="13323" width="9.140625" style="403"/>
    <col min="13324" max="13324" width="1.7109375" style="403" customWidth="1"/>
    <col min="13325" max="13325" width="19.140625" style="403" customWidth="1"/>
    <col min="13326" max="13326" width="35.140625" style="403" customWidth="1"/>
    <col min="13327" max="13327" width="9.85546875" style="403" bestFit="1" customWidth="1"/>
    <col min="13328" max="13328" width="8.85546875" style="403" bestFit="1" customWidth="1"/>
    <col min="13329" max="13339" width="10.28515625" style="403" customWidth="1"/>
    <col min="13340" max="13579" width="9.140625" style="403"/>
    <col min="13580" max="13580" width="1.7109375" style="403" customWidth="1"/>
    <col min="13581" max="13581" width="19.140625" style="403" customWidth="1"/>
    <col min="13582" max="13582" width="35.140625" style="403" customWidth="1"/>
    <col min="13583" max="13583" width="9.85546875" style="403" bestFit="1" customWidth="1"/>
    <col min="13584" max="13584" width="8.85546875" style="403" bestFit="1" customWidth="1"/>
    <col min="13585" max="13595" width="10.28515625" style="403" customWidth="1"/>
    <col min="13596" max="13835" width="9.140625" style="403"/>
    <col min="13836" max="13836" width="1.7109375" style="403" customWidth="1"/>
    <col min="13837" max="13837" width="19.140625" style="403" customWidth="1"/>
    <col min="13838" max="13838" width="35.140625" style="403" customWidth="1"/>
    <col min="13839" max="13839" width="9.85546875" style="403" bestFit="1" customWidth="1"/>
    <col min="13840" max="13840" width="8.85546875" style="403" bestFit="1" customWidth="1"/>
    <col min="13841" max="13851" width="10.28515625" style="403" customWidth="1"/>
    <col min="13852" max="14091" width="9.140625" style="403"/>
    <col min="14092" max="14092" width="1.7109375" style="403" customWidth="1"/>
    <col min="14093" max="14093" width="19.140625" style="403" customWidth="1"/>
    <col min="14094" max="14094" width="35.140625" style="403" customWidth="1"/>
    <col min="14095" max="14095" width="9.85546875" style="403" bestFit="1" customWidth="1"/>
    <col min="14096" max="14096" width="8.85546875" style="403" bestFit="1" customWidth="1"/>
    <col min="14097" max="14107" width="10.28515625" style="403" customWidth="1"/>
    <col min="14108" max="14347" width="9.140625" style="403"/>
    <col min="14348" max="14348" width="1.7109375" style="403" customWidth="1"/>
    <col min="14349" max="14349" width="19.140625" style="403" customWidth="1"/>
    <col min="14350" max="14350" width="35.140625" style="403" customWidth="1"/>
    <col min="14351" max="14351" width="9.85546875" style="403" bestFit="1" customWidth="1"/>
    <col min="14352" max="14352" width="8.85546875" style="403" bestFit="1" customWidth="1"/>
    <col min="14353" max="14363" width="10.28515625" style="403" customWidth="1"/>
    <col min="14364" max="14603" width="9.140625" style="403"/>
    <col min="14604" max="14604" width="1.7109375" style="403" customWidth="1"/>
    <col min="14605" max="14605" width="19.140625" style="403" customWidth="1"/>
    <col min="14606" max="14606" width="35.140625" style="403" customWidth="1"/>
    <col min="14607" max="14607" width="9.85546875" style="403" bestFit="1" customWidth="1"/>
    <col min="14608" max="14608" width="8.85546875" style="403" bestFit="1" customWidth="1"/>
    <col min="14609" max="14619" width="10.28515625" style="403" customWidth="1"/>
    <col min="14620" max="14859" width="9.140625" style="403"/>
    <col min="14860" max="14860" width="1.7109375" style="403" customWidth="1"/>
    <col min="14861" max="14861" width="19.140625" style="403" customWidth="1"/>
    <col min="14862" max="14862" width="35.140625" style="403" customWidth="1"/>
    <col min="14863" max="14863" width="9.85546875" style="403" bestFit="1" customWidth="1"/>
    <col min="14864" max="14864" width="8.85546875" style="403" bestFit="1" customWidth="1"/>
    <col min="14865" max="14875" width="10.28515625" style="403" customWidth="1"/>
    <col min="14876" max="15115" width="9.140625" style="403"/>
    <col min="15116" max="15116" width="1.7109375" style="403" customWidth="1"/>
    <col min="15117" max="15117" width="19.140625" style="403" customWidth="1"/>
    <col min="15118" max="15118" width="35.140625" style="403" customWidth="1"/>
    <col min="15119" max="15119" width="9.85546875" style="403" bestFit="1" customWidth="1"/>
    <col min="15120" max="15120" width="8.85546875" style="403" bestFit="1" customWidth="1"/>
    <col min="15121" max="15131" width="10.28515625" style="403" customWidth="1"/>
    <col min="15132" max="15371" width="9.140625" style="403"/>
    <col min="15372" max="15372" width="1.7109375" style="403" customWidth="1"/>
    <col min="15373" max="15373" width="19.140625" style="403" customWidth="1"/>
    <col min="15374" max="15374" width="35.140625" style="403" customWidth="1"/>
    <col min="15375" max="15375" width="9.85546875" style="403" bestFit="1" customWidth="1"/>
    <col min="15376" max="15376" width="8.85546875" style="403" bestFit="1" customWidth="1"/>
    <col min="15377" max="15387" width="10.28515625" style="403" customWidth="1"/>
    <col min="15388" max="15627" width="9.140625" style="403"/>
    <col min="15628" max="15628" width="1.7109375" style="403" customWidth="1"/>
    <col min="15629" max="15629" width="19.140625" style="403" customWidth="1"/>
    <col min="15630" max="15630" width="35.140625" style="403" customWidth="1"/>
    <col min="15631" max="15631" width="9.85546875" style="403" bestFit="1" customWidth="1"/>
    <col min="15632" max="15632" width="8.85546875" style="403" bestFit="1" customWidth="1"/>
    <col min="15633" max="15643" width="10.28515625" style="403" customWidth="1"/>
    <col min="15644" max="15883" width="9.140625" style="403"/>
    <col min="15884" max="15884" width="1.7109375" style="403" customWidth="1"/>
    <col min="15885" max="15885" width="19.140625" style="403" customWidth="1"/>
    <col min="15886" max="15886" width="35.140625" style="403" customWidth="1"/>
    <col min="15887" max="15887" width="9.85546875" style="403" bestFit="1" customWidth="1"/>
    <col min="15888" max="15888" width="8.85546875" style="403" bestFit="1" customWidth="1"/>
    <col min="15889" max="15899" width="10.28515625" style="403" customWidth="1"/>
    <col min="15900" max="16139" width="9.140625" style="403"/>
    <col min="16140" max="16140" width="1.7109375" style="403" customWidth="1"/>
    <col min="16141" max="16141" width="19.140625" style="403" customWidth="1"/>
    <col min="16142" max="16142" width="35.140625" style="403" customWidth="1"/>
    <col min="16143" max="16143" width="9.85546875" style="403" bestFit="1" customWidth="1"/>
    <col min="16144" max="16144" width="8.85546875" style="403" bestFit="1" customWidth="1"/>
    <col min="16145" max="16155" width="10.28515625" style="403" customWidth="1"/>
    <col min="16156" max="16384" width="9.140625" style="403"/>
  </cols>
  <sheetData>
    <row r="1" spans="1:28" s="379" customFormat="1" ht="36" customHeight="1" x14ac:dyDescent="0.25">
      <c r="A1" s="377"/>
      <c r="B1" s="377"/>
      <c r="C1" s="377"/>
      <c r="D1" s="735" t="s">
        <v>107</v>
      </c>
      <c r="E1" s="736"/>
      <c r="F1" s="737"/>
      <c r="G1" s="726"/>
      <c r="H1" s="726"/>
      <c r="I1" s="734"/>
      <c r="J1" s="725"/>
      <c r="K1" s="726"/>
      <c r="L1" s="734"/>
      <c r="M1" s="725"/>
      <c r="N1" s="726"/>
      <c r="O1" s="734"/>
      <c r="P1" s="725"/>
      <c r="Q1" s="726"/>
      <c r="R1" s="727"/>
      <c r="S1" s="725"/>
      <c r="T1" s="726"/>
      <c r="U1" s="727"/>
      <c r="V1" s="725"/>
      <c r="W1" s="726"/>
      <c r="X1" s="727"/>
      <c r="Y1" s="725" t="s">
        <v>487</v>
      </c>
      <c r="Z1" s="726"/>
      <c r="AA1" s="727"/>
      <c r="AB1" s="378"/>
    </row>
    <row r="2" spans="1:28" s="379" customFormat="1" ht="36" customHeight="1" x14ac:dyDescent="0.25">
      <c r="A2" s="377" t="s">
        <v>359</v>
      </c>
      <c r="B2" s="377"/>
      <c r="C2" s="377"/>
      <c r="D2" s="631"/>
      <c r="E2" s="629"/>
      <c r="F2" s="630"/>
      <c r="G2" s="739" t="s">
        <v>360</v>
      </c>
      <c r="H2" s="726"/>
      <c r="I2" s="734"/>
      <c r="J2" s="725" t="s">
        <v>361</v>
      </c>
      <c r="K2" s="726"/>
      <c r="L2" s="734"/>
      <c r="M2" s="725" t="s">
        <v>479</v>
      </c>
      <c r="N2" s="726"/>
      <c r="O2" s="734"/>
      <c r="P2" s="725" t="s">
        <v>480</v>
      </c>
      <c r="Q2" s="726"/>
      <c r="R2" s="727"/>
      <c r="S2" s="725" t="s">
        <v>481</v>
      </c>
      <c r="T2" s="726"/>
      <c r="U2" s="727"/>
      <c r="V2" s="725" t="s">
        <v>482</v>
      </c>
      <c r="W2" s="726"/>
      <c r="X2" s="727"/>
      <c r="Y2" s="725" t="s">
        <v>483</v>
      </c>
      <c r="Z2" s="726"/>
      <c r="AA2" s="727"/>
      <c r="AB2" s="378"/>
    </row>
    <row r="3" spans="1:28" s="379" customFormat="1" ht="36" customHeight="1" x14ac:dyDescent="0.25">
      <c r="A3" s="377" t="s">
        <v>230</v>
      </c>
      <c r="B3" s="377"/>
      <c r="C3" s="377"/>
      <c r="D3" s="380"/>
      <c r="E3" s="381"/>
      <c r="F3" s="382"/>
      <c r="G3" s="738" t="str">
        <f>'TCO TO BE- SW'!F1</f>
        <v>Modul 1 Modul pre správu reštitúcii</v>
      </c>
      <c r="H3" s="722"/>
      <c r="I3" s="723"/>
      <c r="J3" s="721" t="str">
        <f>'TCO TO BE- SW'!G1</f>
        <v>Modul 2 Modul pre správu depozitov</v>
      </c>
      <c r="K3" s="722"/>
      <c r="L3" s="723"/>
      <c r="M3" s="721" t="str">
        <f>'TCO TO BE- SW'!H1</f>
        <v>Modul 3 Evidencia sťažnosti</v>
      </c>
      <c r="N3" s="722"/>
      <c r="O3" s="723"/>
      <c r="P3" s="721" t="str">
        <f>'TCO TO BE- SW'!I1</f>
        <v>Modul 4 Register právnych aktov</v>
      </c>
      <c r="Q3" s="722"/>
      <c r="R3" s="724"/>
      <c r="S3" s="721">
        <f>'TCO TO BE- SW'!S1</f>
        <v>0</v>
      </c>
      <c r="T3" s="722"/>
      <c r="U3" s="723"/>
      <c r="V3" s="721">
        <f>'TCO TO BE- SW'!T1</f>
        <v>0</v>
      </c>
      <c r="W3" s="722"/>
      <c r="X3" s="723"/>
      <c r="Y3" s="721">
        <f>'TCO TO BE- SW'!U1</f>
        <v>0</v>
      </c>
      <c r="Z3" s="722"/>
      <c r="AA3" s="724"/>
      <c r="AB3" s="378"/>
    </row>
    <row r="4" spans="1:28" s="379" customFormat="1" ht="36" customHeight="1" x14ac:dyDescent="0.25">
      <c r="A4" s="377" t="s">
        <v>231</v>
      </c>
      <c r="B4" s="377"/>
      <c r="C4" s="377"/>
      <c r="D4" s="380"/>
      <c r="E4" s="381"/>
      <c r="F4" s="382"/>
      <c r="G4" s="738" t="str">
        <f>'TCO TO BE - HW'!F1</f>
        <v>Aplikačný modul 1</v>
      </c>
      <c r="H4" s="722"/>
      <c r="I4" s="723"/>
      <c r="J4" s="721" t="str">
        <f>'TCO TO BE - HW'!G1</f>
        <v>Aplikačný modul 2</v>
      </c>
      <c r="K4" s="722"/>
      <c r="L4" s="723"/>
      <c r="M4" s="721" t="str">
        <f>'TCO TO BE - HW'!H1</f>
        <v>Aplikačný modul 3</v>
      </c>
      <c r="N4" s="722"/>
      <c r="O4" s="723"/>
      <c r="P4" s="721" t="str">
        <f>'TCO TO BE - HW'!I1</f>
        <v>Aplikačný modul N</v>
      </c>
      <c r="Q4" s="722"/>
      <c r="R4" s="724"/>
      <c r="S4" s="721">
        <f>'TCO TO BE - HW'!P1</f>
        <v>0</v>
      </c>
      <c r="T4" s="722"/>
      <c r="U4" s="723"/>
      <c r="V4" s="721">
        <f>'TCO TO BE - HW'!Q1</f>
        <v>0</v>
      </c>
      <c r="W4" s="722"/>
      <c r="X4" s="723"/>
      <c r="Y4" s="721">
        <f>'TCO TO BE - HW'!R1</f>
        <v>0</v>
      </c>
      <c r="Z4" s="722"/>
      <c r="AA4" s="724"/>
      <c r="AB4" s="378"/>
    </row>
    <row r="5" spans="1:28" s="393" customFormat="1" ht="15.75" customHeight="1" thickBot="1" x14ac:dyDescent="0.3">
      <c r="A5" s="383" t="s">
        <v>40</v>
      </c>
      <c r="B5" s="383" t="s">
        <v>10</v>
      </c>
      <c r="C5" s="384" t="s">
        <v>23</v>
      </c>
      <c r="D5" s="385" t="s">
        <v>234</v>
      </c>
      <c r="E5" s="386" t="s">
        <v>173</v>
      </c>
      <c r="F5" s="387" t="s">
        <v>161</v>
      </c>
      <c r="G5" s="388" t="s">
        <v>234</v>
      </c>
      <c r="H5" s="388" t="s">
        <v>173</v>
      </c>
      <c r="I5" s="389" t="s">
        <v>161</v>
      </c>
      <c r="J5" s="390" t="s">
        <v>234</v>
      </c>
      <c r="K5" s="388" t="s">
        <v>173</v>
      </c>
      <c r="L5" s="389" t="s">
        <v>161</v>
      </c>
      <c r="M5" s="390" t="s">
        <v>234</v>
      </c>
      <c r="N5" s="388" t="s">
        <v>173</v>
      </c>
      <c r="O5" s="389" t="s">
        <v>161</v>
      </c>
      <c r="P5" s="390" t="s">
        <v>234</v>
      </c>
      <c r="Q5" s="388" t="s">
        <v>173</v>
      </c>
      <c r="R5" s="391" t="s">
        <v>161</v>
      </c>
      <c r="S5" s="390" t="s">
        <v>234</v>
      </c>
      <c r="T5" s="388" t="s">
        <v>173</v>
      </c>
      <c r="U5" s="389" t="s">
        <v>161</v>
      </c>
      <c r="V5" s="390" t="s">
        <v>234</v>
      </c>
      <c r="W5" s="388" t="s">
        <v>173</v>
      </c>
      <c r="X5" s="389" t="s">
        <v>161</v>
      </c>
      <c r="Y5" s="390" t="s">
        <v>234</v>
      </c>
      <c r="Z5" s="388" t="s">
        <v>173</v>
      </c>
      <c r="AA5" s="391" t="s">
        <v>161</v>
      </c>
      <c r="AB5" s="392"/>
    </row>
    <row r="6" spans="1:28" ht="14.45" customHeight="1" x14ac:dyDescent="0.25">
      <c r="A6" s="728" t="s">
        <v>324</v>
      </c>
      <c r="B6" s="731" t="s">
        <v>37</v>
      </c>
      <c r="C6" s="394" t="s">
        <v>25</v>
      </c>
      <c r="D6" s="395">
        <f t="shared" ref="D6:F7" si="0">G6+J6+M6+P6+S6+V6+Y6</f>
        <v>37202</v>
      </c>
      <c r="E6" s="396">
        <f t="shared" si="0"/>
        <v>91852</v>
      </c>
      <c r="F6" s="397">
        <f t="shared" si="0"/>
        <v>54650</v>
      </c>
      <c r="G6" s="398">
        <v>1200</v>
      </c>
      <c r="H6" s="398">
        <v>1200</v>
      </c>
      <c r="I6" s="399">
        <f>H6-G6</f>
        <v>0</v>
      </c>
      <c r="J6" s="398">
        <v>9523</v>
      </c>
      <c r="K6" s="398">
        <v>9523</v>
      </c>
      <c r="L6" s="399">
        <f>K6-J6</f>
        <v>0</v>
      </c>
      <c r="M6" s="398">
        <v>479</v>
      </c>
      <c r="N6" s="398">
        <v>479</v>
      </c>
      <c r="O6" s="399">
        <f>N6-M6</f>
        <v>0</v>
      </c>
      <c r="P6" s="398">
        <v>24000</v>
      </c>
      <c r="Q6" s="400">
        <v>24000</v>
      </c>
      <c r="R6" s="399">
        <f>Q6-P6</f>
        <v>0</v>
      </c>
      <c r="S6" s="398">
        <v>2000</v>
      </c>
      <c r="T6" s="398">
        <v>2000</v>
      </c>
      <c r="U6" s="399">
        <f>T6-S6</f>
        <v>0</v>
      </c>
      <c r="V6" s="398">
        <v>0</v>
      </c>
      <c r="W6" s="398">
        <v>12000</v>
      </c>
      <c r="X6" s="399">
        <f>W6-V6</f>
        <v>12000</v>
      </c>
      <c r="Y6" s="398">
        <v>0</v>
      </c>
      <c r="Z6" s="400">
        <v>42650</v>
      </c>
      <c r="AA6" s="399">
        <f>Z6-Y6</f>
        <v>42650</v>
      </c>
      <c r="AB6" s="402">
        <v>0</v>
      </c>
    </row>
    <row r="7" spans="1:28" x14ac:dyDescent="0.25">
      <c r="A7" s="729"/>
      <c r="B7" s="732"/>
      <c r="C7" s="404" t="s">
        <v>26</v>
      </c>
      <c r="D7" s="405">
        <f t="shared" si="0"/>
        <v>37143</v>
      </c>
      <c r="E7" s="406">
        <f t="shared" si="0"/>
        <v>93000</v>
      </c>
      <c r="F7" s="407">
        <f t="shared" si="0"/>
        <v>55857</v>
      </c>
      <c r="G7" s="408">
        <v>1150</v>
      </c>
      <c r="H7" s="408">
        <v>1150</v>
      </c>
      <c r="I7" s="409">
        <f>H7-G7</f>
        <v>0</v>
      </c>
      <c r="J7" s="408">
        <v>9523</v>
      </c>
      <c r="K7" s="408">
        <v>10100</v>
      </c>
      <c r="L7" s="409">
        <f>K7-J7</f>
        <v>577</v>
      </c>
      <c r="M7" s="408">
        <v>470</v>
      </c>
      <c r="N7" s="408">
        <v>470</v>
      </c>
      <c r="O7" s="409">
        <f>N7-M7</f>
        <v>0</v>
      </c>
      <c r="P7" s="408">
        <v>24000</v>
      </c>
      <c r="Q7" s="410">
        <v>24000</v>
      </c>
      <c r="R7" s="409">
        <f>Q7-P7</f>
        <v>0</v>
      </c>
      <c r="S7" s="408">
        <v>2000</v>
      </c>
      <c r="T7" s="408">
        <v>2000</v>
      </c>
      <c r="U7" s="409">
        <f>T7-S7</f>
        <v>0</v>
      </c>
      <c r="V7" s="408">
        <v>0</v>
      </c>
      <c r="W7" s="408">
        <v>12000</v>
      </c>
      <c r="X7" s="409">
        <f>W7-V7</f>
        <v>12000</v>
      </c>
      <c r="Y7" s="408">
        <v>0</v>
      </c>
      <c r="Z7" s="410">
        <v>43280</v>
      </c>
      <c r="AA7" s="409">
        <f>Z7-Y7</f>
        <v>43280</v>
      </c>
      <c r="AB7" s="402"/>
    </row>
    <row r="8" spans="1:28" x14ac:dyDescent="0.25">
      <c r="A8" s="729"/>
      <c r="B8" s="732"/>
      <c r="C8" s="404" t="s">
        <v>27</v>
      </c>
      <c r="D8" s="405">
        <f t="shared" ref="D8:D15" si="1">G8+J8+M8+P8+S8+V8+Y8</f>
        <v>37133</v>
      </c>
      <c r="E8" s="406">
        <f t="shared" ref="E8:E15" si="2">H8+K8+N8+Q8+T8+W8+Z8</f>
        <v>93900</v>
      </c>
      <c r="F8" s="407">
        <f t="shared" ref="F8:F15" si="3">I8+L8+O8+R8+U8+X8+AA8</f>
        <v>56767</v>
      </c>
      <c r="G8" s="408">
        <v>1150</v>
      </c>
      <c r="H8" s="408">
        <v>1150</v>
      </c>
      <c r="I8" s="409">
        <f t="shared" ref="I8:I25" si="4">H8-G8</f>
        <v>0</v>
      </c>
      <c r="J8" s="408">
        <v>9523</v>
      </c>
      <c r="K8" s="408">
        <v>10400</v>
      </c>
      <c r="L8" s="409">
        <f t="shared" ref="L8:L25" si="5">K8-J8</f>
        <v>877</v>
      </c>
      <c r="M8" s="408">
        <v>460</v>
      </c>
      <c r="N8" s="408">
        <v>460</v>
      </c>
      <c r="O8" s="409">
        <f t="shared" ref="O8:O25" si="6">N8-M8</f>
        <v>0</v>
      </c>
      <c r="P8" s="408">
        <v>24000</v>
      </c>
      <c r="Q8" s="410">
        <v>24500</v>
      </c>
      <c r="R8" s="409">
        <f t="shared" ref="R8:R25" si="7">Q8-P8</f>
        <v>500</v>
      </c>
      <c r="S8" s="408">
        <v>2000</v>
      </c>
      <c r="T8" s="408">
        <v>2140</v>
      </c>
      <c r="U8" s="409">
        <f t="shared" ref="U8:U25" si="8">T8-S8</f>
        <v>140</v>
      </c>
      <c r="V8" s="408">
        <v>0</v>
      </c>
      <c r="W8" s="408">
        <v>12100</v>
      </c>
      <c r="X8" s="409">
        <f t="shared" ref="X8:X25" si="9">W8-V8</f>
        <v>12100</v>
      </c>
      <c r="Y8" s="408">
        <v>0</v>
      </c>
      <c r="Z8" s="410">
        <v>43150</v>
      </c>
      <c r="AA8" s="409">
        <f t="shared" ref="AA8:AA25" si="10">Z8-Y8</f>
        <v>43150</v>
      </c>
      <c r="AB8" s="402"/>
    </row>
    <row r="9" spans="1:28" x14ac:dyDescent="0.25">
      <c r="A9" s="729"/>
      <c r="B9" s="732"/>
      <c r="C9" s="404" t="s">
        <v>28</v>
      </c>
      <c r="D9" s="405">
        <f t="shared" si="1"/>
        <v>37073</v>
      </c>
      <c r="E9" s="406">
        <f t="shared" si="2"/>
        <v>94830</v>
      </c>
      <c r="F9" s="407">
        <f t="shared" si="3"/>
        <v>57757</v>
      </c>
      <c r="G9" s="408">
        <v>1100</v>
      </c>
      <c r="H9" s="408">
        <v>1100</v>
      </c>
      <c r="I9" s="409">
        <f t="shared" si="4"/>
        <v>0</v>
      </c>
      <c r="J9" s="408">
        <v>9523</v>
      </c>
      <c r="K9" s="408">
        <v>10800</v>
      </c>
      <c r="L9" s="409">
        <f t="shared" si="5"/>
        <v>1277</v>
      </c>
      <c r="M9" s="408">
        <v>450</v>
      </c>
      <c r="N9" s="408">
        <v>450</v>
      </c>
      <c r="O9" s="409">
        <f t="shared" si="6"/>
        <v>0</v>
      </c>
      <c r="P9" s="408">
        <v>24000</v>
      </c>
      <c r="Q9" s="410">
        <v>24500</v>
      </c>
      <c r="R9" s="409">
        <f t="shared" si="7"/>
        <v>500</v>
      </c>
      <c r="S9" s="408">
        <v>2000</v>
      </c>
      <c r="T9" s="408">
        <v>2300</v>
      </c>
      <c r="U9" s="409">
        <f t="shared" si="8"/>
        <v>300</v>
      </c>
      <c r="V9" s="408">
        <v>0</v>
      </c>
      <c r="W9" s="408">
        <v>12200</v>
      </c>
      <c r="X9" s="409">
        <f t="shared" si="9"/>
        <v>12200</v>
      </c>
      <c r="Y9" s="408">
        <v>0</v>
      </c>
      <c r="Z9" s="410">
        <v>43480</v>
      </c>
      <c r="AA9" s="409">
        <f t="shared" si="10"/>
        <v>43480</v>
      </c>
      <c r="AB9" s="402"/>
    </row>
    <row r="10" spans="1:28" x14ac:dyDescent="0.25">
      <c r="A10" s="729"/>
      <c r="B10" s="732"/>
      <c r="C10" s="404" t="s">
        <v>29</v>
      </c>
      <c r="D10" s="405">
        <f t="shared" si="1"/>
        <v>37073</v>
      </c>
      <c r="E10" s="406">
        <f t="shared" si="2"/>
        <v>96850</v>
      </c>
      <c r="F10" s="407">
        <f t="shared" si="3"/>
        <v>59777</v>
      </c>
      <c r="G10" s="408">
        <v>1100</v>
      </c>
      <c r="H10" s="408">
        <v>1100</v>
      </c>
      <c r="I10" s="409">
        <f t="shared" si="4"/>
        <v>0</v>
      </c>
      <c r="J10" s="408">
        <v>9523</v>
      </c>
      <c r="K10" s="408">
        <v>11000</v>
      </c>
      <c r="L10" s="409">
        <f t="shared" si="5"/>
        <v>1477</v>
      </c>
      <c r="M10" s="408">
        <v>450</v>
      </c>
      <c r="N10" s="408">
        <v>450</v>
      </c>
      <c r="O10" s="409">
        <f t="shared" si="6"/>
        <v>0</v>
      </c>
      <c r="P10" s="408">
        <v>24000</v>
      </c>
      <c r="Q10" s="410">
        <v>25000</v>
      </c>
      <c r="R10" s="409">
        <f t="shared" si="7"/>
        <v>1000</v>
      </c>
      <c r="S10" s="408">
        <v>2000</v>
      </c>
      <c r="T10" s="408">
        <v>2400</v>
      </c>
      <c r="U10" s="409">
        <f t="shared" si="8"/>
        <v>400</v>
      </c>
      <c r="V10" s="408">
        <v>0</v>
      </c>
      <c r="W10" s="408">
        <v>12400</v>
      </c>
      <c r="X10" s="409">
        <f t="shared" si="9"/>
        <v>12400</v>
      </c>
      <c r="Y10" s="408">
        <v>0</v>
      </c>
      <c r="Z10" s="410">
        <v>44500</v>
      </c>
      <c r="AA10" s="409">
        <f t="shared" si="10"/>
        <v>44500</v>
      </c>
      <c r="AB10" s="402"/>
    </row>
    <row r="11" spans="1:28" x14ac:dyDescent="0.25">
      <c r="A11" s="729"/>
      <c r="B11" s="732"/>
      <c r="C11" s="404" t="s">
        <v>30</v>
      </c>
      <c r="D11" s="405">
        <f t="shared" si="1"/>
        <v>36973</v>
      </c>
      <c r="E11" s="406">
        <f t="shared" si="2"/>
        <v>96850</v>
      </c>
      <c r="F11" s="407">
        <f t="shared" si="3"/>
        <v>59877</v>
      </c>
      <c r="G11" s="408">
        <v>1020</v>
      </c>
      <c r="H11" s="408">
        <v>1020</v>
      </c>
      <c r="I11" s="409">
        <f t="shared" si="4"/>
        <v>0</v>
      </c>
      <c r="J11" s="408">
        <v>9523</v>
      </c>
      <c r="K11" s="408">
        <v>11200</v>
      </c>
      <c r="L11" s="409">
        <f t="shared" si="5"/>
        <v>1677</v>
      </c>
      <c r="M11" s="408">
        <v>430</v>
      </c>
      <c r="N11" s="408">
        <v>430</v>
      </c>
      <c r="O11" s="409">
        <f t="shared" si="6"/>
        <v>0</v>
      </c>
      <c r="P11" s="408">
        <v>24000</v>
      </c>
      <c r="Q11" s="410">
        <v>25000</v>
      </c>
      <c r="R11" s="409">
        <f t="shared" si="7"/>
        <v>1000</v>
      </c>
      <c r="S11" s="408">
        <v>2000</v>
      </c>
      <c r="T11" s="408">
        <v>2400</v>
      </c>
      <c r="U11" s="409">
        <f t="shared" si="8"/>
        <v>400</v>
      </c>
      <c r="V11" s="408">
        <v>0</v>
      </c>
      <c r="W11" s="408">
        <v>12300</v>
      </c>
      <c r="X11" s="409">
        <f t="shared" si="9"/>
        <v>12300</v>
      </c>
      <c r="Y11" s="408">
        <v>0</v>
      </c>
      <c r="Z11" s="410">
        <v>44500</v>
      </c>
      <c r="AA11" s="409">
        <f t="shared" si="10"/>
        <v>44500</v>
      </c>
      <c r="AB11" s="402"/>
    </row>
    <row r="12" spans="1:28" x14ac:dyDescent="0.25">
      <c r="A12" s="729"/>
      <c r="B12" s="732"/>
      <c r="C12" s="404" t="s">
        <v>31</v>
      </c>
      <c r="D12" s="405">
        <f t="shared" si="1"/>
        <v>36903</v>
      </c>
      <c r="E12" s="406">
        <f t="shared" si="2"/>
        <v>97520</v>
      </c>
      <c r="F12" s="407">
        <f t="shared" si="3"/>
        <v>60617</v>
      </c>
      <c r="G12" s="408">
        <v>950</v>
      </c>
      <c r="H12" s="408">
        <v>950</v>
      </c>
      <c r="I12" s="409">
        <f t="shared" si="4"/>
        <v>0</v>
      </c>
      <c r="J12" s="408">
        <v>9523</v>
      </c>
      <c r="K12" s="408">
        <v>11440</v>
      </c>
      <c r="L12" s="409">
        <f t="shared" si="5"/>
        <v>1917</v>
      </c>
      <c r="M12" s="408">
        <v>430</v>
      </c>
      <c r="N12" s="408">
        <v>430</v>
      </c>
      <c r="O12" s="409">
        <f t="shared" si="6"/>
        <v>0</v>
      </c>
      <c r="P12" s="408">
        <v>24000</v>
      </c>
      <c r="Q12" s="410">
        <v>25500</v>
      </c>
      <c r="R12" s="409">
        <f t="shared" si="7"/>
        <v>1500</v>
      </c>
      <c r="S12" s="408">
        <v>2000</v>
      </c>
      <c r="T12" s="408">
        <v>2500</v>
      </c>
      <c r="U12" s="409">
        <f t="shared" si="8"/>
        <v>500</v>
      </c>
      <c r="V12" s="408">
        <v>0</v>
      </c>
      <c r="W12" s="408">
        <v>12100</v>
      </c>
      <c r="X12" s="409">
        <f t="shared" si="9"/>
        <v>12100</v>
      </c>
      <c r="Y12" s="408">
        <v>0</v>
      </c>
      <c r="Z12" s="410">
        <v>44600</v>
      </c>
      <c r="AA12" s="409">
        <f t="shared" si="10"/>
        <v>44600</v>
      </c>
      <c r="AB12" s="402"/>
    </row>
    <row r="13" spans="1:28" x14ac:dyDescent="0.25">
      <c r="A13" s="729"/>
      <c r="B13" s="732"/>
      <c r="C13" s="404" t="s">
        <v>32</v>
      </c>
      <c r="D13" s="405">
        <f t="shared" si="1"/>
        <v>36843</v>
      </c>
      <c r="E13" s="406">
        <f t="shared" si="2"/>
        <v>97520</v>
      </c>
      <c r="F13" s="407">
        <f t="shared" si="3"/>
        <v>60677</v>
      </c>
      <c r="G13" s="408">
        <v>900</v>
      </c>
      <c r="H13" s="408">
        <v>900</v>
      </c>
      <c r="I13" s="409">
        <f t="shared" si="4"/>
        <v>0</v>
      </c>
      <c r="J13" s="408">
        <v>9523</v>
      </c>
      <c r="K13" s="408">
        <v>11500</v>
      </c>
      <c r="L13" s="409">
        <f t="shared" si="5"/>
        <v>1977</v>
      </c>
      <c r="M13" s="408">
        <v>420</v>
      </c>
      <c r="N13" s="408">
        <v>420</v>
      </c>
      <c r="O13" s="409">
        <f t="shared" si="6"/>
        <v>0</v>
      </c>
      <c r="P13" s="408">
        <v>24000</v>
      </c>
      <c r="Q13" s="410">
        <v>25500</v>
      </c>
      <c r="R13" s="409">
        <f t="shared" si="7"/>
        <v>1500</v>
      </c>
      <c r="S13" s="408">
        <v>2000</v>
      </c>
      <c r="T13" s="408">
        <v>2400</v>
      </c>
      <c r="U13" s="409">
        <f t="shared" si="8"/>
        <v>400</v>
      </c>
      <c r="V13" s="408">
        <v>0</v>
      </c>
      <c r="W13" s="408">
        <v>12000</v>
      </c>
      <c r="X13" s="409">
        <f t="shared" si="9"/>
        <v>12000</v>
      </c>
      <c r="Y13" s="408">
        <v>0</v>
      </c>
      <c r="Z13" s="410">
        <v>44800</v>
      </c>
      <c r="AA13" s="409">
        <f t="shared" si="10"/>
        <v>44800</v>
      </c>
      <c r="AB13" s="402"/>
    </row>
    <row r="14" spans="1:28" x14ac:dyDescent="0.25">
      <c r="A14" s="729"/>
      <c r="B14" s="732"/>
      <c r="C14" s="404" t="s">
        <v>33</v>
      </c>
      <c r="D14" s="405">
        <f t="shared" si="1"/>
        <v>36843</v>
      </c>
      <c r="E14" s="406">
        <f t="shared" si="2"/>
        <v>98200</v>
      </c>
      <c r="F14" s="407">
        <f t="shared" si="3"/>
        <v>61357</v>
      </c>
      <c r="G14" s="408">
        <v>900</v>
      </c>
      <c r="H14" s="408">
        <v>900</v>
      </c>
      <c r="I14" s="409">
        <f t="shared" si="4"/>
        <v>0</v>
      </c>
      <c r="J14" s="408">
        <v>9523</v>
      </c>
      <c r="K14" s="408">
        <v>11600</v>
      </c>
      <c r="L14" s="409">
        <f t="shared" si="5"/>
        <v>2077</v>
      </c>
      <c r="M14" s="408">
        <v>420</v>
      </c>
      <c r="N14" s="408">
        <v>420</v>
      </c>
      <c r="O14" s="409">
        <f t="shared" si="6"/>
        <v>0</v>
      </c>
      <c r="P14" s="408">
        <v>24000</v>
      </c>
      <c r="Q14" s="410">
        <v>26000</v>
      </c>
      <c r="R14" s="409">
        <f t="shared" si="7"/>
        <v>2000</v>
      </c>
      <c r="S14" s="408">
        <v>2000</v>
      </c>
      <c r="T14" s="408">
        <v>2400</v>
      </c>
      <c r="U14" s="409">
        <f t="shared" si="8"/>
        <v>400</v>
      </c>
      <c r="V14" s="408">
        <v>0</v>
      </c>
      <c r="W14" s="408">
        <v>11900</v>
      </c>
      <c r="X14" s="409">
        <f t="shared" si="9"/>
        <v>11900</v>
      </c>
      <c r="Y14" s="408">
        <v>0</v>
      </c>
      <c r="Z14" s="410">
        <v>44980</v>
      </c>
      <c r="AA14" s="409">
        <f t="shared" si="10"/>
        <v>44980</v>
      </c>
      <c r="AB14" s="402"/>
    </row>
    <row r="15" spans="1:28" ht="15.75" thickBot="1" x14ac:dyDescent="0.3">
      <c r="A15" s="730"/>
      <c r="B15" s="733"/>
      <c r="C15" s="412" t="s">
        <v>34</v>
      </c>
      <c r="D15" s="405">
        <f t="shared" si="1"/>
        <v>36843</v>
      </c>
      <c r="E15" s="406">
        <f t="shared" si="2"/>
        <v>98200</v>
      </c>
      <c r="F15" s="407">
        <f t="shared" si="3"/>
        <v>61357</v>
      </c>
      <c r="G15" s="416">
        <v>900</v>
      </c>
      <c r="H15" s="416">
        <v>900</v>
      </c>
      <c r="I15" s="409">
        <f t="shared" si="4"/>
        <v>0</v>
      </c>
      <c r="J15" s="416">
        <v>9523</v>
      </c>
      <c r="K15" s="416">
        <v>11700</v>
      </c>
      <c r="L15" s="417">
        <f t="shared" si="5"/>
        <v>2177</v>
      </c>
      <c r="M15" s="416">
        <v>420</v>
      </c>
      <c r="N15" s="416">
        <v>420</v>
      </c>
      <c r="O15" s="417">
        <f t="shared" si="6"/>
        <v>0</v>
      </c>
      <c r="P15" s="416">
        <v>24000</v>
      </c>
      <c r="Q15" s="418">
        <v>26000</v>
      </c>
      <c r="R15" s="417">
        <f t="shared" si="7"/>
        <v>2000</v>
      </c>
      <c r="S15" s="416">
        <v>2000</v>
      </c>
      <c r="T15" s="416">
        <v>2400</v>
      </c>
      <c r="U15" s="417">
        <f t="shared" si="8"/>
        <v>400</v>
      </c>
      <c r="V15" s="416">
        <v>0</v>
      </c>
      <c r="W15" s="416">
        <v>11800</v>
      </c>
      <c r="X15" s="417">
        <f t="shared" si="9"/>
        <v>11800</v>
      </c>
      <c r="Y15" s="416">
        <v>0</v>
      </c>
      <c r="Z15" s="418">
        <v>44980</v>
      </c>
      <c r="AA15" s="417">
        <f t="shared" si="10"/>
        <v>44980</v>
      </c>
      <c r="AB15" s="402"/>
    </row>
    <row r="16" spans="1:28" x14ac:dyDescent="0.25">
      <c r="A16" s="728" t="s">
        <v>196</v>
      </c>
      <c r="B16" s="731" t="s">
        <v>13</v>
      </c>
      <c r="C16" s="394" t="s">
        <v>25</v>
      </c>
      <c r="D16" s="420"/>
      <c r="E16" s="421"/>
      <c r="F16" s="422"/>
      <c r="G16" s="423">
        <v>1.4750000000000001</v>
      </c>
      <c r="H16" s="424">
        <v>0</v>
      </c>
      <c r="I16" s="425">
        <f t="shared" si="4"/>
        <v>-1.4750000000000001</v>
      </c>
      <c r="J16" s="424">
        <v>0.44681297910322376</v>
      </c>
      <c r="K16" s="424">
        <v>0</v>
      </c>
      <c r="L16" s="425">
        <f t="shared" si="5"/>
        <v>-0.44681297910322376</v>
      </c>
      <c r="M16" s="424">
        <v>1.4739039665970772</v>
      </c>
      <c r="N16" s="424">
        <v>0</v>
      </c>
      <c r="O16" s="425">
        <f t="shared" si="6"/>
        <v>-1.4739039665970772</v>
      </c>
      <c r="P16" s="424">
        <v>1.4750000000000001</v>
      </c>
      <c r="Q16" s="424">
        <v>0</v>
      </c>
      <c r="R16" s="427">
        <f t="shared" si="7"/>
        <v>-1.4750000000000001</v>
      </c>
      <c r="S16" s="424">
        <v>1.4750000000000001</v>
      </c>
      <c r="T16" s="424">
        <v>0</v>
      </c>
      <c r="U16" s="425">
        <f t="shared" si="8"/>
        <v>-1.4750000000000001</v>
      </c>
      <c r="V16" s="424">
        <v>0</v>
      </c>
      <c r="W16" s="424">
        <v>0</v>
      </c>
      <c r="X16" s="425">
        <f t="shared" si="9"/>
        <v>0</v>
      </c>
      <c r="Y16" s="424">
        <v>0</v>
      </c>
      <c r="Z16" s="426">
        <v>0</v>
      </c>
      <c r="AA16" s="427">
        <f t="shared" si="10"/>
        <v>0</v>
      </c>
      <c r="AB16" s="402"/>
    </row>
    <row r="17" spans="1:28" x14ac:dyDescent="0.25">
      <c r="A17" s="729"/>
      <c r="B17" s="732"/>
      <c r="C17" s="404" t="s">
        <v>26</v>
      </c>
      <c r="D17" s="428"/>
      <c r="E17" s="429"/>
      <c r="F17" s="430"/>
      <c r="G17" s="431">
        <v>1.4750000000000001</v>
      </c>
      <c r="H17" s="432">
        <v>0</v>
      </c>
      <c r="I17" s="433">
        <f t="shared" si="4"/>
        <v>-1.4750000000000001</v>
      </c>
      <c r="J17" s="432">
        <v>0.44681297910322376</v>
      </c>
      <c r="K17" s="432">
        <v>0</v>
      </c>
      <c r="L17" s="433">
        <f t="shared" si="5"/>
        <v>-0.44681297910322376</v>
      </c>
      <c r="M17" s="432">
        <v>1.4739039665970772</v>
      </c>
      <c r="N17" s="432">
        <v>0</v>
      </c>
      <c r="O17" s="433">
        <f t="shared" si="6"/>
        <v>-1.4739039665970772</v>
      </c>
      <c r="P17" s="432">
        <v>1.4750000000000001</v>
      </c>
      <c r="Q17" s="432">
        <v>0</v>
      </c>
      <c r="R17" s="435">
        <f t="shared" si="7"/>
        <v>-1.4750000000000001</v>
      </c>
      <c r="S17" s="432">
        <v>1.4750000000000001</v>
      </c>
      <c r="T17" s="432">
        <v>0</v>
      </c>
      <c r="U17" s="433">
        <f t="shared" si="8"/>
        <v>-1.4750000000000001</v>
      </c>
      <c r="V17" s="432">
        <v>0</v>
      </c>
      <c r="W17" s="432">
        <v>0</v>
      </c>
      <c r="X17" s="433">
        <f t="shared" si="9"/>
        <v>0</v>
      </c>
      <c r="Y17" s="432">
        <v>0</v>
      </c>
      <c r="Z17" s="434">
        <v>0</v>
      </c>
      <c r="AA17" s="435">
        <f t="shared" si="10"/>
        <v>0</v>
      </c>
      <c r="AB17" s="402"/>
    </row>
    <row r="18" spans="1:28" x14ac:dyDescent="0.25">
      <c r="A18" s="729"/>
      <c r="B18" s="732"/>
      <c r="C18" s="404" t="s">
        <v>27</v>
      </c>
      <c r="D18" s="428"/>
      <c r="E18" s="429"/>
      <c r="F18" s="430"/>
      <c r="G18" s="431">
        <v>1.4750000000000001</v>
      </c>
      <c r="H18" s="432">
        <v>0</v>
      </c>
      <c r="I18" s="433">
        <f t="shared" si="4"/>
        <v>-1.4750000000000001</v>
      </c>
      <c r="J18" s="432">
        <v>0.44681297910322376</v>
      </c>
      <c r="K18" s="432">
        <v>0</v>
      </c>
      <c r="L18" s="433">
        <f t="shared" si="5"/>
        <v>-0.44681297910322376</v>
      </c>
      <c r="M18" s="432">
        <v>1.4739039665970772</v>
      </c>
      <c r="N18" s="432">
        <v>0</v>
      </c>
      <c r="O18" s="433">
        <f t="shared" si="6"/>
        <v>-1.4739039665970772</v>
      </c>
      <c r="P18" s="432">
        <v>1.4750000000000001</v>
      </c>
      <c r="Q18" s="432">
        <v>0</v>
      </c>
      <c r="R18" s="435">
        <f t="shared" si="7"/>
        <v>-1.4750000000000001</v>
      </c>
      <c r="S18" s="432">
        <v>1.4750000000000001</v>
      </c>
      <c r="T18" s="432">
        <v>0</v>
      </c>
      <c r="U18" s="433">
        <f t="shared" si="8"/>
        <v>-1.4750000000000001</v>
      </c>
      <c r="V18" s="432">
        <v>0</v>
      </c>
      <c r="W18" s="432">
        <v>0</v>
      </c>
      <c r="X18" s="433">
        <f t="shared" si="9"/>
        <v>0</v>
      </c>
      <c r="Y18" s="432">
        <v>0</v>
      </c>
      <c r="Z18" s="434">
        <v>0</v>
      </c>
      <c r="AA18" s="435">
        <f t="shared" si="10"/>
        <v>0</v>
      </c>
      <c r="AB18" s="402"/>
    </row>
    <row r="19" spans="1:28" x14ac:dyDescent="0.25">
      <c r="A19" s="729"/>
      <c r="B19" s="732"/>
      <c r="C19" s="404" t="s">
        <v>28</v>
      </c>
      <c r="D19" s="428"/>
      <c r="E19" s="429"/>
      <c r="F19" s="430"/>
      <c r="G19" s="431">
        <v>1.4750000000000001</v>
      </c>
      <c r="H19" s="432">
        <v>0</v>
      </c>
      <c r="I19" s="433">
        <f t="shared" si="4"/>
        <v>-1.4750000000000001</v>
      </c>
      <c r="J19" s="432">
        <v>0.44681297910322376</v>
      </c>
      <c r="K19" s="432">
        <v>0</v>
      </c>
      <c r="L19" s="433">
        <f t="shared" si="5"/>
        <v>-0.44681297910322376</v>
      </c>
      <c r="M19" s="432">
        <v>1.4739039665970772</v>
      </c>
      <c r="N19" s="432">
        <v>0</v>
      </c>
      <c r="O19" s="433">
        <f t="shared" si="6"/>
        <v>-1.4739039665970772</v>
      </c>
      <c r="P19" s="432">
        <v>1.4750000000000001</v>
      </c>
      <c r="Q19" s="432">
        <v>0</v>
      </c>
      <c r="R19" s="435">
        <f t="shared" si="7"/>
        <v>-1.4750000000000001</v>
      </c>
      <c r="S19" s="432">
        <v>1.4750000000000001</v>
      </c>
      <c r="T19" s="432">
        <v>0</v>
      </c>
      <c r="U19" s="433">
        <f t="shared" si="8"/>
        <v>-1.4750000000000001</v>
      </c>
      <c r="V19" s="432">
        <v>0</v>
      </c>
      <c r="W19" s="432">
        <v>0</v>
      </c>
      <c r="X19" s="433">
        <f t="shared" si="9"/>
        <v>0</v>
      </c>
      <c r="Y19" s="432">
        <v>0</v>
      </c>
      <c r="Z19" s="434">
        <v>0</v>
      </c>
      <c r="AA19" s="435">
        <f t="shared" si="10"/>
        <v>0</v>
      </c>
      <c r="AB19" s="402"/>
    </row>
    <row r="20" spans="1:28" x14ac:dyDescent="0.25">
      <c r="A20" s="729"/>
      <c r="B20" s="732"/>
      <c r="C20" s="404" t="s">
        <v>29</v>
      </c>
      <c r="D20" s="428"/>
      <c r="E20" s="429"/>
      <c r="F20" s="430"/>
      <c r="G20" s="431">
        <v>1.4750000000000001</v>
      </c>
      <c r="H20" s="432">
        <v>0</v>
      </c>
      <c r="I20" s="433">
        <f t="shared" si="4"/>
        <v>-1.4750000000000001</v>
      </c>
      <c r="J20" s="432">
        <v>0.44681297910322376</v>
      </c>
      <c r="K20" s="432">
        <v>0</v>
      </c>
      <c r="L20" s="433">
        <f t="shared" si="5"/>
        <v>-0.44681297910322376</v>
      </c>
      <c r="M20" s="432">
        <v>1.4739039665970772</v>
      </c>
      <c r="N20" s="432">
        <v>0</v>
      </c>
      <c r="O20" s="433">
        <f t="shared" si="6"/>
        <v>-1.4739039665970772</v>
      </c>
      <c r="P20" s="432">
        <v>1.4750000000000001</v>
      </c>
      <c r="Q20" s="432">
        <v>0</v>
      </c>
      <c r="R20" s="435">
        <f t="shared" si="7"/>
        <v>-1.4750000000000001</v>
      </c>
      <c r="S20" s="432">
        <v>1.4750000000000001</v>
      </c>
      <c r="T20" s="432">
        <v>0</v>
      </c>
      <c r="U20" s="433">
        <f t="shared" si="8"/>
        <v>-1.4750000000000001</v>
      </c>
      <c r="V20" s="432">
        <v>0</v>
      </c>
      <c r="W20" s="432">
        <v>0</v>
      </c>
      <c r="X20" s="433">
        <f t="shared" si="9"/>
        <v>0</v>
      </c>
      <c r="Y20" s="432">
        <v>0</v>
      </c>
      <c r="Z20" s="434">
        <v>0</v>
      </c>
      <c r="AA20" s="435">
        <f t="shared" si="10"/>
        <v>0</v>
      </c>
      <c r="AB20" s="402"/>
    </row>
    <row r="21" spans="1:28" x14ac:dyDescent="0.25">
      <c r="A21" s="729"/>
      <c r="B21" s="732"/>
      <c r="C21" s="404" t="s">
        <v>30</v>
      </c>
      <c r="D21" s="428"/>
      <c r="E21" s="429"/>
      <c r="F21" s="430"/>
      <c r="G21" s="431">
        <v>1.4750000000000001</v>
      </c>
      <c r="H21" s="432">
        <v>0</v>
      </c>
      <c r="I21" s="433">
        <f t="shared" si="4"/>
        <v>-1.4750000000000001</v>
      </c>
      <c r="J21" s="432">
        <v>0.44681297910322376</v>
      </c>
      <c r="K21" s="432">
        <v>0</v>
      </c>
      <c r="L21" s="433">
        <f t="shared" si="5"/>
        <v>-0.44681297910322376</v>
      </c>
      <c r="M21" s="432">
        <v>1.4739039665970772</v>
      </c>
      <c r="N21" s="432">
        <v>0</v>
      </c>
      <c r="O21" s="433">
        <f t="shared" si="6"/>
        <v>-1.4739039665970772</v>
      </c>
      <c r="P21" s="432">
        <v>1.4750000000000001</v>
      </c>
      <c r="Q21" s="432">
        <v>0</v>
      </c>
      <c r="R21" s="435">
        <f t="shared" si="7"/>
        <v>-1.4750000000000001</v>
      </c>
      <c r="S21" s="432">
        <v>1.4750000000000001</v>
      </c>
      <c r="T21" s="432">
        <v>0</v>
      </c>
      <c r="U21" s="433">
        <f t="shared" si="8"/>
        <v>-1.4750000000000001</v>
      </c>
      <c r="V21" s="432">
        <v>0</v>
      </c>
      <c r="W21" s="432">
        <v>0</v>
      </c>
      <c r="X21" s="433">
        <f t="shared" si="9"/>
        <v>0</v>
      </c>
      <c r="Y21" s="432">
        <v>0</v>
      </c>
      <c r="Z21" s="434">
        <v>0</v>
      </c>
      <c r="AA21" s="435">
        <f t="shared" si="10"/>
        <v>0</v>
      </c>
      <c r="AB21" s="402"/>
    </row>
    <row r="22" spans="1:28" x14ac:dyDescent="0.25">
      <c r="A22" s="729"/>
      <c r="B22" s="732"/>
      <c r="C22" s="404" t="s">
        <v>31</v>
      </c>
      <c r="D22" s="428"/>
      <c r="E22" s="429"/>
      <c r="F22" s="430"/>
      <c r="G22" s="431">
        <v>1.4750000000000001</v>
      </c>
      <c r="H22" s="432">
        <v>0</v>
      </c>
      <c r="I22" s="433">
        <f t="shared" si="4"/>
        <v>-1.4750000000000001</v>
      </c>
      <c r="J22" s="432">
        <v>0.44681297910322376</v>
      </c>
      <c r="K22" s="432">
        <v>0</v>
      </c>
      <c r="L22" s="433">
        <f t="shared" si="5"/>
        <v>-0.44681297910322376</v>
      </c>
      <c r="M22" s="432">
        <v>1.4739039665970772</v>
      </c>
      <c r="N22" s="432">
        <v>0</v>
      </c>
      <c r="O22" s="433">
        <f t="shared" si="6"/>
        <v>-1.4739039665970772</v>
      </c>
      <c r="P22" s="432">
        <v>1.4750000000000001</v>
      </c>
      <c r="Q22" s="432">
        <v>0</v>
      </c>
      <c r="R22" s="435">
        <f t="shared" si="7"/>
        <v>-1.4750000000000001</v>
      </c>
      <c r="S22" s="432">
        <v>1.4750000000000001</v>
      </c>
      <c r="T22" s="432">
        <v>0</v>
      </c>
      <c r="U22" s="433">
        <f t="shared" si="8"/>
        <v>-1.4750000000000001</v>
      </c>
      <c r="V22" s="432">
        <v>0</v>
      </c>
      <c r="W22" s="432">
        <v>0</v>
      </c>
      <c r="X22" s="433">
        <f t="shared" si="9"/>
        <v>0</v>
      </c>
      <c r="Y22" s="432">
        <v>0</v>
      </c>
      <c r="Z22" s="434">
        <v>0</v>
      </c>
      <c r="AA22" s="435">
        <f t="shared" si="10"/>
        <v>0</v>
      </c>
      <c r="AB22" s="402"/>
    </row>
    <row r="23" spans="1:28" x14ac:dyDescent="0.25">
      <c r="A23" s="729"/>
      <c r="B23" s="732"/>
      <c r="C23" s="404" t="s">
        <v>32</v>
      </c>
      <c r="D23" s="428"/>
      <c r="E23" s="429"/>
      <c r="F23" s="430"/>
      <c r="G23" s="431">
        <v>1.4750000000000001</v>
      </c>
      <c r="H23" s="432">
        <v>0</v>
      </c>
      <c r="I23" s="433">
        <f t="shared" si="4"/>
        <v>-1.4750000000000001</v>
      </c>
      <c r="J23" s="432">
        <v>0.44681297910322376</v>
      </c>
      <c r="K23" s="432">
        <v>0</v>
      </c>
      <c r="L23" s="433">
        <f t="shared" si="5"/>
        <v>-0.44681297910322376</v>
      </c>
      <c r="M23" s="432">
        <v>1.4739039665970772</v>
      </c>
      <c r="N23" s="432">
        <v>0</v>
      </c>
      <c r="O23" s="433">
        <f t="shared" si="6"/>
        <v>-1.4739039665970772</v>
      </c>
      <c r="P23" s="432">
        <v>1.4750000000000001</v>
      </c>
      <c r="Q23" s="432">
        <v>0</v>
      </c>
      <c r="R23" s="435">
        <f t="shared" si="7"/>
        <v>-1.4750000000000001</v>
      </c>
      <c r="S23" s="432">
        <v>1.4750000000000001</v>
      </c>
      <c r="T23" s="432">
        <v>0</v>
      </c>
      <c r="U23" s="433">
        <f t="shared" si="8"/>
        <v>-1.4750000000000001</v>
      </c>
      <c r="V23" s="432">
        <v>0</v>
      </c>
      <c r="W23" s="432">
        <v>0</v>
      </c>
      <c r="X23" s="433">
        <f t="shared" si="9"/>
        <v>0</v>
      </c>
      <c r="Y23" s="432">
        <v>0</v>
      </c>
      <c r="Z23" s="434">
        <v>0</v>
      </c>
      <c r="AA23" s="435">
        <f t="shared" si="10"/>
        <v>0</v>
      </c>
      <c r="AB23" s="402"/>
    </row>
    <row r="24" spans="1:28" x14ac:dyDescent="0.25">
      <c r="A24" s="729"/>
      <c r="B24" s="732"/>
      <c r="C24" s="404" t="s">
        <v>33</v>
      </c>
      <c r="D24" s="428"/>
      <c r="E24" s="429"/>
      <c r="F24" s="430"/>
      <c r="G24" s="431">
        <v>1.4750000000000001</v>
      </c>
      <c r="H24" s="432">
        <v>0</v>
      </c>
      <c r="I24" s="433">
        <f t="shared" si="4"/>
        <v>-1.4750000000000001</v>
      </c>
      <c r="J24" s="432">
        <v>0.44681297910322376</v>
      </c>
      <c r="K24" s="432">
        <v>0</v>
      </c>
      <c r="L24" s="433">
        <f t="shared" si="5"/>
        <v>-0.44681297910322376</v>
      </c>
      <c r="M24" s="432">
        <v>1.4739039665970772</v>
      </c>
      <c r="N24" s="432">
        <v>0</v>
      </c>
      <c r="O24" s="433">
        <f t="shared" si="6"/>
        <v>-1.4739039665970772</v>
      </c>
      <c r="P24" s="432">
        <v>1.4750000000000001</v>
      </c>
      <c r="Q24" s="432">
        <v>0</v>
      </c>
      <c r="R24" s="435">
        <f t="shared" si="7"/>
        <v>-1.4750000000000001</v>
      </c>
      <c r="S24" s="432">
        <v>1.4750000000000001</v>
      </c>
      <c r="T24" s="432">
        <v>0</v>
      </c>
      <c r="U24" s="433">
        <f t="shared" si="8"/>
        <v>-1.4750000000000001</v>
      </c>
      <c r="V24" s="432">
        <v>0</v>
      </c>
      <c r="W24" s="432">
        <v>0</v>
      </c>
      <c r="X24" s="433">
        <f t="shared" si="9"/>
        <v>0</v>
      </c>
      <c r="Y24" s="432">
        <v>0</v>
      </c>
      <c r="Z24" s="434">
        <v>0</v>
      </c>
      <c r="AA24" s="435">
        <f t="shared" si="10"/>
        <v>0</v>
      </c>
      <c r="AB24" s="402"/>
    </row>
    <row r="25" spans="1:28" ht="15.75" thickBot="1" x14ac:dyDescent="0.3">
      <c r="A25" s="730"/>
      <c r="B25" s="733"/>
      <c r="C25" s="412" t="s">
        <v>34</v>
      </c>
      <c r="D25" s="436"/>
      <c r="E25" s="437"/>
      <c r="F25" s="438"/>
      <c r="G25" s="439">
        <v>1.4750000000000001</v>
      </c>
      <c r="H25" s="440">
        <v>0</v>
      </c>
      <c r="I25" s="433">
        <f t="shared" si="4"/>
        <v>-1.4750000000000001</v>
      </c>
      <c r="J25" s="440">
        <v>0.44681297910322376</v>
      </c>
      <c r="K25" s="440">
        <v>0</v>
      </c>
      <c r="L25" s="441">
        <f t="shared" si="5"/>
        <v>-0.44681297910322376</v>
      </c>
      <c r="M25" s="440">
        <v>1.4739039665970772</v>
      </c>
      <c r="N25" s="440">
        <v>0</v>
      </c>
      <c r="O25" s="441">
        <f t="shared" si="6"/>
        <v>-1.4739039665970772</v>
      </c>
      <c r="P25" s="440">
        <v>1.4750000000000001</v>
      </c>
      <c r="Q25" s="440">
        <v>0</v>
      </c>
      <c r="R25" s="443">
        <f t="shared" si="7"/>
        <v>-1.4750000000000001</v>
      </c>
      <c r="S25" s="440">
        <v>1.4750000000000001</v>
      </c>
      <c r="T25" s="440">
        <v>0</v>
      </c>
      <c r="U25" s="441">
        <f t="shared" si="8"/>
        <v>-1.4750000000000001</v>
      </c>
      <c r="V25" s="440">
        <v>0</v>
      </c>
      <c r="W25" s="440">
        <v>0</v>
      </c>
      <c r="X25" s="441">
        <f t="shared" si="9"/>
        <v>0</v>
      </c>
      <c r="Y25" s="440">
        <v>0</v>
      </c>
      <c r="Z25" s="442">
        <v>0</v>
      </c>
      <c r="AA25" s="443">
        <f t="shared" si="10"/>
        <v>0</v>
      </c>
      <c r="AB25" s="402"/>
    </row>
    <row r="26" spans="1:28" s="445" customFormat="1" ht="14.25" customHeight="1" x14ac:dyDescent="0.25">
      <c r="A26" s="728" t="s">
        <v>42</v>
      </c>
      <c r="B26" s="731" t="s">
        <v>13</v>
      </c>
      <c r="C26" s="394" t="s">
        <v>25</v>
      </c>
      <c r="D26" s="420"/>
      <c r="E26" s="421"/>
      <c r="F26" s="422"/>
      <c r="G26" s="423">
        <v>0</v>
      </c>
      <c r="H26" s="423">
        <v>0</v>
      </c>
      <c r="I26" s="425">
        <f>H26-G26</f>
        <v>0</v>
      </c>
      <c r="J26" s="423">
        <v>0</v>
      </c>
      <c r="K26" s="423">
        <v>0</v>
      </c>
      <c r="L26" s="425">
        <f>K26-J26</f>
        <v>0</v>
      </c>
      <c r="M26" s="423">
        <v>0</v>
      </c>
      <c r="N26" s="423">
        <v>0</v>
      </c>
      <c r="O26" s="425">
        <f>N26-M26</f>
        <v>0</v>
      </c>
      <c r="P26" s="423">
        <v>0</v>
      </c>
      <c r="Q26" s="423">
        <v>0</v>
      </c>
      <c r="R26" s="427">
        <f>Q26-P26</f>
        <v>0</v>
      </c>
      <c r="S26" s="423">
        <v>0</v>
      </c>
      <c r="T26" s="423">
        <v>0</v>
      </c>
      <c r="U26" s="425">
        <f>T26-S26</f>
        <v>0</v>
      </c>
      <c r="V26" s="423">
        <v>0</v>
      </c>
      <c r="W26" s="423">
        <v>0</v>
      </c>
      <c r="X26" s="425">
        <f>W26-V26</f>
        <v>0</v>
      </c>
      <c r="Y26" s="423">
        <v>0</v>
      </c>
      <c r="Z26" s="423">
        <v>0</v>
      </c>
      <c r="AA26" s="427">
        <f>Z26-Y26</f>
        <v>0</v>
      </c>
      <c r="AB26" s="444"/>
    </row>
    <row r="27" spans="1:28" s="447" customFormat="1" x14ac:dyDescent="0.25">
      <c r="A27" s="729"/>
      <c r="B27" s="732"/>
      <c r="C27" s="404" t="s">
        <v>26</v>
      </c>
      <c r="D27" s="428"/>
      <c r="E27" s="429"/>
      <c r="F27" s="430"/>
      <c r="G27" s="431">
        <v>0</v>
      </c>
      <c r="H27" s="431">
        <v>0</v>
      </c>
      <c r="I27" s="433">
        <f t="shared" ref="I27:I44" si="11">H27-G27</f>
        <v>0</v>
      </c>
      <c r="J27" s="431">
        <v>0</v>
      </c>
      <c r="K27" s="431">
        <v>0</v>
      </c>
      <c r="L27" s="433">
        <f t="shared" ref="L27:L44" si="12">K27-J27</f>
        <v>0</v>
      </c>
      <c r="M27" s="431">
        <v>0</v>
      </c>
      <c r="N27" s="431">
        <v>0</v>
      </c>
      <c r="O27" s="433">
        <f t="shared" ref="O27:O44" si="13">N27-M27</f>
        <v>0</v>
      </c>
      <c r="P27" s="431">
        <v>0</v>
      </c>
      <c r="Q27" s="431">
        <v>0</v>
      </c>
      <c r="R27" s="435">
        <f t="shared" ref="R27:R44" si="14">Q27-P27</f>
        <v>0</v>
      </c>
      <c r="S27" s="431">
        <v>0</v>
      </c>
      <c r="T27" s="431">
        <v>0</v>
      </c>
      <c r="U27" s="433">
        <f t="shared" ref="U27:U44" si="15">T27-S27</f>
        <v>0</v>
      </c>
      <c r="V27" s="431">
        <v>0</v>
      </c>
      <c r="W27" s="431">
        <v>0</v>
      </c>
      <c r="X27" s="433">
        <f t="shared" ref="X27:X44" si="16">W27-V27</f>
        <v>0</v>
      </c>
      <c r="Y27" s="431">
        <v>0</v>
      </c>
      <c r="Z27" s="431">
        <v>0</v>
      </c>
      <c r="AA27" s="435">
        <f t="shared" ref="AA27:AA44" si="17">Z27-Y27</f>
        <v>0</v>
      </c>
      <c r="AB27" s="446"/>
    </row>
    <row r="28" spans="1:28" s="447" customFormat="1" x14ac:dyDescent="0.25">
      <c r="A28" s="729"/>
      <c r="B28" s="732"/>
      <c r="C28" s="404" t="s">
        <v>27</v>
      </c>
      <c r="D28" s="428"/>
      <c r="E28" s="429"/>
      <c r="F28" s="430"/>
      <c r="G28" s="431">
        <v>0</v>
      </c>
      <c r="H28" s="431">
        <v>0</v>
      </c>
      <c r="I28" s="433">
        <f t="shared" si="11"/>
        <v>0</v>
      </c>
      <c r="J28" s="431">
        <v>0</v>
      </c>
      <c r="K28" s="431">
        <v>0</v>
      </c>
      <c r="L28" s="433">
        <f t="shared" si="12"/>
        <v>0</v>
      </c>
      <c r="M28" s="431">
        <v>0</v>
      </c>
      <c r="N28" s="431">
        <v>0</v>
      </c>
      <c r="O28" s="433">
        <f t="shared" si="13"/>
        <v>0</v>
      </c>
      <c r="P28" s="431">
        <v>0</v>
      </c>
      <c r="Q28" s="431">
        <v>0</v>
      </c>
      <c r="R28" s="435">
        <f t="shared" si="14"/>
        <v>0</v>
      </c>
      <c r="S28" s="431">
        <v>0</v>
      </c>
      <c r="T28" s="431">
        <v>0</v>
      </c>
      <c r="U28" s="433">
        <f t="shared" si="15"/>
        <v>0</v>
      </c>
      <c r="V28" s="431">
        <v>0</v>
      </c>
      <c r="W28" s="431">
        <v>0</v>
      </c>
      <c r="X28" s="433">
        <f t="shared" si="16"/>
        <v>0</v>
      </c>
      <c r="Y28" s="431">
        <v>0</v>
      </c>
      <c r="Z28" s="431">
        <v>0</v>
      </c>
      <c r="AA28" s="435">
        <f t="shared" si="17"/>
        <v>0</v>
      </c>
      <c r="AB28" s="446"/>
    </row>
    <row r="29" spans="1:28" s="447" customFormat="1" x14ac:dyDescent="0.25">
      <c r="A29" s="729"/>
      <c r="B29" s="732"/>
      <c r="C29" s="404" t="s">
        <v>28</v>
      </c>
      <c r="D29" s="428"/>
      <c r="E29" s="429"/>
      <c r="F29" s="430"/>
      <c r="G29" s="431">
        <v>0</v>
      </c>
      <c r="H29" s="431">
        <v>0</v>
      </c>
      <c r="I29" s="433">
        <f t="shared" si="11"/>
        <v>0</v>
      </c>
      <c r="J29" s="431">
        <v>0</v>
      </c>
      <c r="K29" s="431">
        <v>0</v>
      </c>
      <c r="L29" s="433">
        <f t="shared" si="12"/>
        <v>0</v>
      </c>
      <c r="M29" s="431">
        <v>0</v>
      </c>
      <c r="N29" s="431">
        <v>0</v>
      </c>
      <c r="O29" s="433">
        <f t="shared" si="13"/>
        <v>0</v>
      </c>
      <c r="P29" s="431">
        <v>0</v>
      </c>
      <c r="Q29" s="431">
        <v>0</v>
      </c>
      <c r="R29" s="435">
        <f t="shared" si="14"/>
        <v>0</v>
      </c>
      <c r="S29" s="431">
        <v>0</v>
      </c>
      <c r="T29" s="431">
        <v>0</v>
      </c>
      <c r="U29" s="433">
        <f t="shared" si="15"/>
        <v>0</v>
      </c>
      <c r="V29" s="431">
        <v>0</v>
      </c>
      <c r="W29" s="431">
        <v>0</v>
      </c>
      <c r="X29" s="433">
        <f t="shared" si="16"/>
        <v>0</v>
      </c>
      <c r="Y29" s="431">
        <v>0</v>
      </c>
      <c r="Z29" s="431">
        <v>0</v>
      </c>
      <c r="AA29" s="435">
        <f t="shared" si="17"/>
        <v>0</v>
      </c>
      <c r="AB29" s="446"/>
    </row>
    <row r="30" spans="1:28" s="447" customFormat="1" x14ac:dyDescent="0.25">
      <c r="A30" s="729"/>
      <c r="B30" s="732"/>
      <c r="C30" s="404" t="s">
        <v>29</v>
      </c>
      <c r="D30" s="428"/>
      <c r="E30" s="429"/>
      <c r="F30" s="430"/>
      <c r="G30" s="431">
        <v>0</v>
      </c>
      <c r="H30" s="431">
        <v>0</v>
      </c>
      <c r="I30" s="433">
        <f t="shared" si="11"/>
        <v>0</v>
      </c>
      <c r="J30" s="431">
        <v>0</v>
      </c>
      <c r="K30" s="431">
        <v>0</v>
      </c>
      <c r="L30" s="433">
        <f t="shared" si="12"/>
        <v>0</v>
      </c>
      <c r="M30" s="431">
        <v>0</v>
      </c>
      <c r="N30" s="431">
        <v>0</v>
      </c>
      <c r="O30" s="433">
        <f t="shared" si="13"/>
        <v>0</v>
      </c>
      <c r="P30" s="431">
        <v>0</v>
      </c>
      <c r="Q30" s="431">
        <v>0</v>
      </c>
      <c r="R30" s="435">
        <f t="shared" si="14"/>
        <v>0</v>
      </c>
      <c r="S30" s="431">
        <v>0</v>
      </c>
      <c r="T30" s="431">
        <v>0</v>
      </c>
      <c r="U30" s="433">
        <f t="shared" si="15"/>
        <v>0</v>
      </c>
      <c r="V30" s="431">
        <v>0</v>
      </c>
      <c r="W30" s="431">
        <v>0</v>
      </c>
      <c r="X30" s="433">
        <f t="shared" si="16"/>
        <v>0</v>
      </c>
      <c r="Y30" s="431">
        <v>0</v>
      </c>
      <c r="Z30" s="431">
        <v>0</v>
      </c>
      <c r="AA30" s="435">
        <f t="shared" si="17"/>
        <v>0</v>
      </c>
      <c r="AB30" s="446"/>
    </row>
    <row r="31" spans="1:28" s="447" customFormat="1" x14ac:dyDescent="0.25">
      <c r="A31" s="729"/>
      <c r="B31" s="732"/>
      <c r="C31" s="404" t="s">
        <v>30</v>
      </c>
      <c r="D31" s="428"/>
      <c r="E31" s="429"/>
      <c r="F31" s="430"/>
      <c r="G31" s="431">
        <v>0</v>
      </c>
      <c r="H31" s="431">
        <v>0</v>
      </c>
      <c r="I31" s="433">
        <f t="shared" si="11"/>
        <v>0</v>
      </c>
      <c r="J31" s="431">
        <v>0</v>
      </c>
      <c r="K31" s="431">
        <v>0</v>
      </c>
      <c r="L31" s="433">
        <f t="shared" si="12"/>
        <v>0</v>
      </c>
      <c r="M31" s="431">
        <v>0</v>
      </c>
      <c r="N31" s="431">
        <v>0</v>
      </c>
      <c r="O31" s="433">
        <f t="shared" si="13"/>
        <v>0</v>
      </c>
      <c r="P31" s="431">
        <v>0</v>
      </c>
      <c r="Q31" s="431">
        <v>0</v>
      </c>
      <c r="R31" s="435">
        <f t="shared" si="14"/>
        <v>0</v>
      </c>
      <c r="S31" s="431">
        <v>0</v>
      </c>
      <c r="T31" s="431">
        <v>0</v>
      </c>
      <c r="U31" s="433">
        <f t="shared" si="15"/>
        <v>0</v>
      </c>
      <c r="V31" s="431">
        <v>0</v>
      </c>
      <c r="W31" s="431">
        <v>0</v>
      </c>
      <c r="X31" s="433">
        <f t="shared" si="16"/>
        <v>0</v>
      </c>
      <c r="Y31" s="431">
        <v>0</v>
      </c>
      <c r="Z31" s="431">
        <v>0</v>
      </c>
      <c r="AA31" s="435">
        <f t="shared" si="17"/>
        <v>0</v>
      </c>
      <c r="AB31" s="446"/>
    </row>
    <row r="32" spans="1:28" s="447" customFormat="1" x14ac:dyDescent="0.25">
      <c r="A32" s="729"/>
      <c r="B32" s="732"/>
      <c r="C32" s="404" t="s">
        <v>31</v>
      </c>
      <c r="D32" s="428"/>
      <c r="E32" s="429"/>
      <c r="F32" s="430"/>
      <c r="G32" s="431">
        <v>0</v>
      </c>
      <c r="H32" s="431">
        <v>0</v>
      </c>
      <c r="I32" s="433">
        <f t="shared" si="11"/>
        <v>0</v>
      </c>
      <c r="J32" s="431">
        <v>0</v>
      </c>
      <c r="K32" s="431">
        <v>0</v>
      </c>
      <c r="L32" s="433">
        <f t="shared" si="12"/>
        <v>0</v>
      </c>
      <c r="M32" s="431">
        <v>0</v>
      </c>
      <c r="N32" s="431">
        <v>0</v>
      </c>
      <c r="O32" s="433">
        <f t="shared" si="13"/>
        <v>0</v>
      </c>
      <c r="P32" s="431">
        <v>0</v>
      </c>
      <c r="Q32" s="431">
        <v>0</v>
      </c>
      <c r="R32" s="435">
        <f t="shared" si="14"/>
        <v>0</v>
      </c>
      <c r="S32" s="431">
        <v>0</v>
      </c>
      <c r="T32" s="431">
        <v>0</v>
      </c>
      <c r="U32" s="433">
        <f t="shared" si="15"/>
        <v>0</v>
      </c>
      <c r="V32" s="431">
        <v>0</v>
      </c>
      <c r="W32" s="431">
        <v>0</v>
      </c>
      <c r="X32" s="433">
        <f t="shared" si="16"/>
        <v>0</v>
      </c>
      <c r="Y32" s="431">
        <v>0</v>
      </c>
      <c r="Z32" s="431">
        <v>0</v>
      </c>
      <c r="AA32" s="435">
        <f t="shared" si="17"/>
        <v>0</v>
      </c>
      <c r="AB32" s="446"/>
    </row>
    <row r="33" spans="1:28" s="447" customFormat="1" x14ac:dyDescent="0.25">
      <c r="A33" s="729"/>
      <c r="B33" s="732"/>
      <c r="C33" s="404" t="s">
        <v>32</v>
      </c>
      <c r="D33" s="428"/>
      <c r="E33" s="429"/>
      <c r="F33" s="430"/>
      <c r="G33" s="431">
        <v>0</v>
      </c>
      <c r="H33" s="431">
        <v>0</v>
      </c>
      <c r="I33" s="433">
        <f t="shared" si="11"/>
        <v>0</v>
      </c>
      <c r="J33" s="431">
        <v>0</v>
      </c>
      <c r="K33" s="431">
        <v>0</v>
      </c>
      <c r="L33" s="433">
        <f t="shared" si="12"/>
        <v>0</v>
      </c>
      <c r="M33" s="431">
        <v>0</v>
      </c>
      <c r="N33" s="431">
        <v>0</v>
      </c>
      <c r="O33" s="433">
        <f t="shared" si="13"/>
        <v>0</v>
      </c>
      <c r="P33" s="431">
        <v>0</v>
      </c>
      <c r="Q33" s="431">
        <v>0</v>
      </c>
      <c r="R33" s="435">
        <f t="shared" si="14"/>
        <v>0</v>
      </c>
      <c r="S33" s="431">
        <v>0</v>
      </c>
      <c r="T33" s="431">
        <v>0</v>
      </c>
      <c r="U33" s="433">
        <f t="shared" si="15"/>
        <v>0</v>
      </c>
      <c r="V33" s="431">
        <v>0</v>
      </c>
      <c r="W33" s="431">
        <v>0</v>
      </c>
      <c r="X33" s="433">
        <f t="shared" si="16"/>
        <v>0</v>
      </c>
      <c r="Y33" s="431">
        <v>0</v>
      </c>
      <c r="Z33" s="431">
        <v>0</v>
      </c>
      <c r="AA33" s="435">
        <f t="shared" si="17"/>
        <v>0</v>
      </c>
      <c r="AB33" s="446"/>
    </row>
    <row r="34" spans="1:28" s="447" customFormat="1" x14ac:dyDescent="0.25">
      <c r="A34" s="729"/>
      <c r="B34" s="732"/>
      <c r="C34" s="404" t="s">
        <v>33</v>
      </c>
      <c r="D34" s="428"/>
      <c r="E34" s="429"/>
      <c r="F34" s="430"/>
      <c r="G34" s="431">
        <v>0</v>
      </c>
      <c r="H34" s="431">
        <v>0</v>
      </c>
      <c r="I34" s="433">
        <f t="shared" si="11"/>
        <v>0</v>
      </c>
      <c r="J34" s="431">
        <v>0</v>
      </c>
      <c r="K34" s="431">
        <v>0</v>
      </c>
      <c r="L34" s="433">
        <f t="shared" si="12"/>
        <v>0</v>
      </c>
      <c r="M34" s="431">
        <v>0</v>
      </c>
      <c r="N34" s="431">
        <v>0</v>
      </c>
      <c r="O34" s="433">
        <f t="shared" si="13"/>
        <v>0</v>
      </c>
      <c r="P34" s="431">
        <v>0</v>
      </c>
      <c r="Q34" s="431">
        <v>0</v>
      </c>
      <c r="R34" s="435">
        <f t="shared" si="14"/>
        <v>0</v>
      </c>
      <c r="S34" s="431">
        <v>0</v>
      </c>
      <c r="T34" s="431">
        <v>0</v>
      </c>
      <c r="U34" s="433">
        <f t="shared" si="15"/>
        <v>0</v>
      </c>
      <c r="V34" s="431">
        <v>0</v>
      </c>
      <c r="W34" s="431">
        <v>0</v>
      </c>
      <c r="X34" s="433">
        <f t="shared" si="16"/>
        <v>0</v>
      </c>
      <c r="Y34" s="431">
        <v>0</v>
      </c>
      <c r="Z34" s="431">
        <v>0</v>
      </c>
      <c r="AA34" s="435">
        <f t="shared" si="17"/>
        <v>0</v>
      </c>
      <c r="AB34" s="446"/>
    </row>
    <row r="35" spans="1:28" s="447" customFormat="1" ht="15.75" thickBot="1" x14ac:dyDescent="0.3">
      <c r="A35" s="730"/>
      <c r="B35" s="733"/>
      <c r="C35" s="412" t="s">
        <v>34</v>
      </c>
      <c r="D35" s="436"/>
      <c r="E35" s="437"/>
      <c r="F35" s="438"/>
      <c r="G35" s="439">
        <v>0</v>
      </c>
      <c r="H35" s="439">
        <v>0</v>
      </c>
      <c r="I35" s="441">
        <f t="shared" si="11"/>
        <v>0</v>
      </c>
      <c r="J35" s="439">
        <v>0</v>
      </c>
      <c r="K35" s="439">
        <v>0</v>
      </c>
      <c r="L35" s="441">
        <f t="shared" si="12"/>
        <v>0</v>
      </c>
      <c r="M35" s="439">
        <v>0</v>
      </c>
      <c r="N35" s="439">
        <v>0</v>
      </c>
      <c r="O35" s="441">
        <f t="shared" si="13"/>
        <v>0</v>
      </c>
      <c r="P35" s="439">
        <v>0</v>
      </c>
      <c r="Q35" s="439">
        <v>0</v>
      </c>
      <c r="R35" s="443">
        <f t="shared" si="14"/>
        <v>0</v>
      </c>
      <c r="S35" s="439">
        <v>0</v>
      </c>
      <c r="T35" s="439">
        <v>0</v>
      </c>
      <c r="U35" s="441">
        <f t="shared" si="15"/>
        <v>0</v>
      </c>
      <c r="V35" s="439">
        <v>0</v>
      </c>
      <c r="W35" s="439">
        <v>0</v>
      </c>
      <c r="X35" s="441">
        <f t="shared" si="16"/>
        <v>0</v>
      </c>
      <c r="Y35" s="439">
        <v>0</v>
      </c>
      <c r="Z35" s="439">
        <v>0</v>
      </c>
      <c r="AA35" s="443">
        <f t="shared" si="17"/>
        <v>0</v>
      </c>
      <c r="AB35" s="446"/>
    </row>
    <row r="36" spans="1:28" s="445" customFormat="1" ht="14.45" customHeight="1" x14ac:dyDescent="0.25">
      <c r="A36" s="728" t="s">
        <v>200</v>
      </c>
      <c r="B36" s="731" t="s">
        <v>193</v>
      </c>
      <c r="C36" s="394" t="s">
        <v>25</v>
      </c>
      <c r="D36" s="420"/>
      <c r="E36" s="421"/>
      <c r="F36" s="422"/>
      <c r="G36" s="423">
        <v>0.25</v>
      </c>
      <c r="H36" s="424">
        <v>0.15</v>
      </c>
      <c r="I36" s="425">
        <f t="shared" si="11"/>
        <v>-0.1</v>
      </c>
      <c r="J36" s="423">
        <v>0.25</v>
      </c>
      <c r="K36" s="424">
        <v>0.15</v>
      </c>
      <c r="L36" s="425">
        <f t="shared" si="12"/>
        <v>-0.1</v>
      </c>
      <c r="M36" s="424">
        <v>0.25</v>
      </c>
      <c r="N36" s="424">
        <v>0.15</v>
      </c>
      <c r="O36" s="425">
        <f t="shared" si="13"/>
        <v>-0.1</v>
      </c>
      <c r="P36" s="424">
        <v>0.25</v>
      </c>
      <c r="Q36" s="426">
        <v>0.15</v>
      </c>
      <c r="R36" s="427">
        <f t="shared" si="14"/>
        <v>-0.1</v>
      </c>
      <c r="S36" s="424">
        <v>0.25</v>
      </c>
      <c r="T36" s="424">
        <v>0.15</v>
      </c>
      <c r="U36" s="425">
        <f t="shared" si="15"/>
        <v>-0.1</v>
      </c>
      <c r="V36" s="424">
        <v>0</v>
      </c>
      <c r="W36" s="424">
        <v>0</v>
      </c>
      <c r="X36" s="425">
        <f t="shared" si="16"/>
        <v>0</v>
      </c>
      <c r="Y36" s="424">
        <v>0</v>
      </c>
      <c r="Z36" s="426">
        <v>0</v>
      </c>
      <c r="AA36" s="427">
        <f t="shared" si="17"/>
        <v>0</v>
      </c>
      <c r="AB36" s="444">
        <f>'Analyza citlivosti - AgendovéIS'!N7</f>
        <v>0</v>
      </c>
    </row>
    <row r="37" spans="1:28" s="447" customFormat="1" x14ac:dyDescent="0.25">
      <c r="A37" s="729"/>
      <c r="B37" s="732"/>
      <c r="C37" s="404" t="s">
        <v>26</v>
      </c>
      <c r="D37" s="428"/>
      <c r="E37" s="429"/>
      <c r="F37" s="430"/>
      <c r="G37" s="431">
        <v>0.25</v>
      </c>
      <c r="H37" s="432">
        <v>0.15</v>
      </c>
      <c r="I37" s="433">
        <f t="shared" si="11"/>
        <v>-0.1</v>
      </c>
      <c r="J37" s="431">
        <v>0.25</v>
      </c>
      <c r="K37" s="432">
        <v>0.15</v>
      </c>
      <c r="L37" s="433">
        <f t="shared" si="12"/>
        <v>-0.1</v>
      </c>
      <c r="M37" s="432">
        <v>0.25</v>
      </c>
      <c r="N37" s="432">
        <v>0.15</v>
      </c>
      <c r="O37" s="433">
        <f t="shared" si="13"/>
        <v>-0.1</v>
      </c>
      <c r="P37" s="432">
        <v>0.25</v>
      </c>
      <c r="Q37" s="434">
        <v>0.15</v>
      </c>
      <c r="R37" s="435">
        <f t="shared" si="14"/>
        <v>-0.1</v>
      </c>
      <c r="S37" s="432">
        <v>0.25</v>
      </c>
      <c r="T37" s="432">
        <v>0.15</v>
      </c>
      <c r="U37" s="433">
        <f t="shared" si="15"/>
        <v>-0.1</v>
      </c>
      <c r="V37" s="432">
        <v>0</v>
      </c>
      <c r="W37" s="432">
        <v>0</v>
      </c>
      <c r="X37" s="433">
        <f t="shared" si="16"/>
        <v>0</v>
      </c>
      <c r="Y37" s="432">
        <v>0</v>
      </c>
      <c r="Z37" s="434">
        <v>0</v>
      </c>
      <c r="AA37" s="435">
        <f t="shared" si="17"/>
        <v>0</v>
      </c>
      <c r="AB37" s="446"/>
    </row>
    <row r="38" spans="1:28" s="447" customFormat="1" x14ac:dyDescent="0.25">
      <c r="A38" s="729"/>
      <c r="B38" s="732"/>
      <c r="C38" s="404" t="s">
        <v>27</v>
      </c>
      <c r="D38" s="428"/>
      <c r="E38" s="429"/>
      <c r="F38" s="430"/>
      <c r="G38" s="431">
        <v>0.25</v>
      </c>
      <c r="H38" s="432">
        <v>0.15</v>
      </c>
      <c r="I38" s="433">
        <f t="shared" si="11"/>
        <v>-0.1</v>
      </c>
      <c r="J38" s="431">
        <v>0.25</v>
      </c>
      <c r="K38" s="432">
        <v>0.15</v>
      </c>
      <c r="L38" s="433">
        <f t="shared" si="12"/>
        <v>-0.1</v>
      </c>
      <c r="M38" s="432">
        <v>0.25</v>
      </c>
      <c r="N38" s="432">
        <v>0.15</v>
      </c>
      <c r="O38" s="433">
        <f t="shared" si="13"/>
        <v>-0.1</v>
      </c>
      <c r="P38" s="432">
        <v>0.25</v>
      </c>
      <c r="Q38" s="434">
        <v>0.15</v>
      </c>
      <c r="R38" s="435">
        <f t="shared" si="14"/>
        <v>-0.1</v>
      </c>
      <c r="S38" s="432">
        <v>0.25</v>
      </c>
      <c r="T38" s="432">
        <v>0.15</v>
      </c>
      <c r="U38" s="433">
        <f t="shared" si="15"/>
        <v>-0.1</v>
      </c>
      <c r="V38" s="432">
        <v>0</v>
      </c>
      <c r="W38" s="432">
        <v>0</v>
      </c>
      <c r="X38" s="433">
        <f t="shared" si="16"/>
        <v>0</v>
      </c>
      <c r="Y38" s="432">
        <v>0</v>
      </c>
      <c r="Z38" s="434">
        <v>0</v>
      </c>
      <c r="AA38" s="435">
        <f t="shared" si="17"/>
        <v>0</v>
      </c>
      <c r="AB38" s="446"/>
    </row>
    <row r="39" spans="1:28" s="447" customFormat="1" x14ac:dyDescent="0.25">
      <c r="A39" s="729"/>
      <c r="B39" s="732"/>
      <c r="C39" s="404" t="s">
        <v>28</v>
      </c>
      <c r="D39" s="428"/>
      <c r="E39" s="429"/>
      <c r="F39" s="430"/>
      <c r="G39" s="431">
        <v>0.25</v>
      </c>
      <c r="H39" s="432">
        <v>0.15</v>
      </c>
      <c r="I39" s="433">
        <f t="shared" si="11"/>
        <v>-0.1</v>
      </c>
      <c r="J39" s="431">
        <v>0.25</v>
      </c>
      <c r="K39" s="432">
        <v>0.15</v>
      </c>
      <c r="L39" s="433">
        <f t="shared" si="12"/>
        <v>-0.1</v>
      </c>
      <c r="M39" s="432">
        <v>0.25</v>
      </c>
      <c r="N39" s="432">
        <v>0.15</v>
      </c>
      <c r="O39" s="433">
        <f t="shared" si="13"/>
        <v>-0.1</v>
      </c>
      <c r="P39" s="432">
        <v>0.25</v>
      </c>
      <c r="Q39" s="434">
        <v>0.15</v>
      </c>
      <c r="R39" s="435">
        <f t="shared" si="14"/>
        <v>-0.1</v>
      </c>
      <c r="S39" s="432">
        <v>0.25</v>
      </c>
      <c r="T39" s="432">
        <v>0.15</v>
      </c>
      <c r="U39" s="433">
        <f t="shared" si="15"/>
        <v>-0.1</v>
      </c>
      <c r="V39" s="432">
        <v>0</v>
      </c>
      <c r="W39" s="432">
        <v>0</v>
      </c>
      <c r="X39" s="433">
        <f t="shared" si="16"/>
        <v>0</v>
      </c>
      <c r="Y39" s="432">
        <v>0</v>
      </c>
      <c r="Z39" s="434">
        <v>0</v>
      </c>
      <c r="AA39" s="435">
        <f t="shared" si="17"/>
        <v>0</v>
      </c>
      <c r="AB39" s="446"/>
    </row>
    <row r="40" spans="1:28" s="447" customFormat="1" x14ac:dyDescent="0.25">
      <c r="A40" s="729"/>
      <c r="B40" s="732"/>
      <c r="C40" s="404" t="s">
        <v>29</v>
      </c>
      <c r="D40" s="428"/>
      <c r="E40" s="429"/>
      <c r="F40" s="430"/>
      <c r="G40" s="431">
        <v>0.25</v>
      </c>
      <c r="H40" s="432">
        <v>0.15</v>
      </c>
      <c r="I40" s="433">
        <f t="shared" si="11"/>
        <v>-0.1</v>
      </c>
      <c r="J40" s="431">
        <v>0.25</v>
      </c>
      <c r="K40" s="432">
        <v>0.15</v>
      </c>
      <c r="L40" s="433">
        <f t="shared" si="12"/>
        <v>-0.1</v>
      </c>
      <c r="M40" s="432">
        <v>0.25</v>
      </c>
      <c r="N40" s="432">
        <v>0.15</v>
      </c>
      <c r="O40" s="433">
        <f t="shared" si="13"/>
        <v>-0.1</v>
      </c>
      <c r="P40" s="432">
        <v>0.25</v>
      </c>
      <c r="Q40" s="434">
        <v>0.15</v>
      </c>
      <c r="R40" s="435">
        <f t="shared" si="14"/>
        <v>-0.1</v>
      </c>
      <c r="S40" s="432">
        <v>0.25</v>
      </c>
      <c r="T40" s="432">
        <v>0.15</v>
      </c>
      <c r="U40" s="433">
        <f t="shared" si="15"/>
        <v>-0.1</v>
      </c>
      <c r="V40" s="432">
        <v>0</v>
      </c>
      <c r="W40" s="432">
        <v>0</v>
      </c>
      <c r="X40" s="433">
        <f t="shared" si="16"/>
        <v>0</v>
      </c>
      <c r="Y40" s="432">
        <v>0</v>
      </c>
      <c r="Z40" s="434">
        <v>0</v>
      </c>
      <c r="AA40" s="435">
        <f t="shared" si="17"/>
        <v>0</v>
      </c>
      <c r="AB40" s="446"/>
    </row>
    <row r="41" spans="1:28" s="447" customFormat="1" x14ac:dyDescent="0.25">
      <c r="A41" s="729"/>
      <c r="B41" s="732"/>
      <c r="C41" s="404" t="s">
        <v>30</v>
      </c>
      <c r="D41" s="428"/>
      <c r="E41" s="429"/>
      <c r="F41" s="430"/>
      <c r="G41" s="431">
        <v>0.25</v>
      </c>
      <c r="H41" s="432">
        <v>0.15</v>
      </c>
      <c r="I41" s="433">
        <f t="shared" si="11"/>
        <v>-0.1</v>
      </c>
      <c r="J41" s="431">
        <v>0.25</v>
      </c>
      <c r="K41" s="432">
        <v>0.15</v>
      </c>
      <c r="L41" s="433">
        <f t="shared" si="12"/>
        <v>-0.1</v>
      </c>
      <c r="M41" s="432">
        <v>0.25</v>
      </c>
      <c r="N41" s="432">
        <v>0.15</v>
      </c>
      <c r="O41" s="433">
        <f t="shared" si="13"/>
        <v>-0.1</v>
      </c>
      <c r="P41" s="432">
        <v>0.25</v>
      </c>
      <c r="Q41" s="434">
        <v>0.15</v>
      </c>
      <c r="R41" s="435">
        <f t="shared" si="14"/>
        <v>-0.1</v>
      </c>
      <c r="S41" s="432">
        <v>0.25</v>
      </c>
      <c r="T41" s="432">
        <v>0.15</v>
      </c>
      <c r="U41" s="433">
        <f t="shared" si="15"/>
        <v>-0.1</v>
      </c>
      <c r="V41" s="432">
        <v>0</v>
      </c>
      <c r="W41" s="432">
        <v>0</v>
      </c>
      <c r="X41" s="433">
        <f t="shared" si="16"/>
        <v>0</v>
      </c>
      <c r="Y41" s="432">
        <v>0</v>
      </c>
      <c r="Z41" s="434">
        <v>0</v>
      </c>
      <c r="AA41" s="435">
        <f t="shared" si="17"/>
        <v>0</v>
      </c>
      <c r="AB41" s="446"/>
    </row>
    <row r="42" spans="1:28" s="447" customFormat="1" x14ac:dyDescent="0.25">
      <c r="A42" s="729"/>
      <c r="B42" s="732"/>
      <c r="C42" s="404" t="s">
        <v>31</v>
      </c>
      <c r="D42" s="428"/>
      <c r="E42" s="429"/>
      <c r="F42" s="430"/>
      <c r="G42" s="431">
        <v>0.25</v>
      </c>
      <c r="H42" s="432">
        <v>0.15</v>
      </c>
      <c r="I42" s="433">
        <f t="shared" si="11"/>
        <v>-0.1</v>
      </c>
      <c r="J42" s="431">
        <v>0.25</v>
      </c>
      <c r="K42" s="432">
        <v>0.15</v>
      </c>
      <c r="L42" s="433">
        <f t="shared" si="12"/>
        <v>-0.1</v>
      </c>
      <c r="M42" s="432">
        <v>0.25</v>
      </c>
      <c r="N42" s="432">
        <v>0.15</v>
      </c>
      <c r="O42" s="433">
        <f t="shared" si="13"/>
        <v>-0.1</v>
      </c>
      <c r="P42" s="432">
        <v>0.25</v>
      </c>
      <c r="Q42" s="434">
        <v>0.15</v>
      </c>
      <c r="R42" s="435">
        <f t="shared" si="14"/>
        <v>-0.1</v>
      </c>
      <c r="S42" s="432">
        <v>0.25</v>
      </c>
      <c r="T42" s="432">
        <v>0.15</v>
      </c>
      <c r="U42" s="433">
        <f t="shared" si="15"/>
        <v>-0.1</v>
      </c>
      <c r="V42" s="432">
        <v>0</v>
      </c>
      <c r="W42" s="432">
        <v>0</v>
      </c>
      <c r="X42" s="433">
        <f t="shared" si="16"/>
        <v>0</v>
      </c>
      <c r="Y42" s="432">
        <v>0</v>
      </c>
      <c r="Z42" s="434">
        <v>0</v>
      </c>
      <c r="AA42" s="435">
        <f t="shared" si="17"/>
        <v>0</v>
      </c>
      <c r="AB42" s="446"/>
    </row>
    <row r="43" spans="1:28" s="447" customFormat="1" x14ac:dyDescent="0.25">
      <c r="A43" s="729"/>
      <c r="B43" s="732"/>
      <c r="C43" s="404" t="s">
        <v>32</v>
      </c>
      <c r="D43" s="428"/>
      <c r="E43" s="429"/>
      <c r="F43" s="430"/>
      <c r="G43" s="431">
        <v>0.25</v>
      </c>
      <c r="H43" s="432">
        <v>0.15</v>
      </c>
      <c r="I43" s="433">
        <f t="shared" si="11"/>
        <v>-0.1</v>
      </c>
      <c r="J43" s="431">
        <v>0.25</v>
      </c>
      <c r="K43" s="432">
        <v>0.15</v>
      </c>
      <c r="L43" s="433">
        <f t="shared" si="12"/>
        <v>-0.1</v>
      </c>
      <c r="M43" s="432">
        <v>0.25</v>
      </c>
      <c r="N43" s="432">
        <v>0.15</v>
      </c>
      <c r="O43" s="433">
        <f t="shared" si="13"/>
        <v>-0.1</v>
      </c>
      <c r="P43" s="432">
        <v>0.25</v>
      </c>
      <c r="Q43" s="434">
        <v>0.15</v>
      </c>
      <c r="R43" s="435">
        <f t="shared" si="14"/>
        <v>-0.1</v>
      </c>
      <c r="S43" s="432">
        <v>0.25</v>
      </c>
      <c r="T43" s="432">
        <v>0.15</v>
      </c>
      <c r="U43" s="433">
        <f t="shared" si="15"/>
        <v>-0.1</v>
      </c>
      <c r="V43" s="432">
        <v>0</v>
      </c>
      <c r="W43" s="432">
        <v>0</v>
      </c>
      <c r="X43" s="433">
        <f t="shared" si="16"/>
        <v>0</v>
      </c>
      <c r="Y43" s="432">
        <v>0</v>
      </c>
      <c r="Z43" s="434">
        <v>0</v>
      </c>
      <c r="AA43" s="435">
        <f t="shared" si="17"/>
        <v>0</v>
      </c>
      <c r="AB43" s="446"/>
    </row>
    <row r="44" spans="1:28" s="447" customFormat="1" x14ac:dyDescent="0.25">
      <c r="A44" s="729"/>
      <c r="B44" s="732"/>
      <c r="C44" s="404" t="s">
        <v>33</v>
      </c>
      <c r="D44" s="428"/>
      <c r="E44" s="429"/>
      <c r="F44" s="430"/>
      <c r="G44" s="431">
        <v>0.25</v>
      </c>
      <c r="H44" s="432">
        <v>0.15</v>
      </c>
      <c r="I44" s="433">
        <f t="shared" si="11"/>
        <v>-0.1</v>
      </c>
      <c r="J44" s="431">
        <v>0.25</v>
      </c>
      <c r="K44" s="432">
        <v>0.15</v>
      </c>
      <c r="L44" s="433">
        <f t="shared" si="12"/>
        <v>-0.1</v>
      </c>
      <c r="M44" s="432">
        <v>0.25</v>
      </c>
      <c r="N44" s="432">
        <v>0.15</v>
      </c>
      <c r="O44" s="433">
        <f t="shared" si="13"/>
        <v>-0.1</v>
      </c>
      <c r="P44" s="432">
        <v>0.25</v>
      </c>
      <c r="Q44" s="434">
        <v>0.15</v>
      </c>
      <c r="R44" s="435">
        <f t="shared" si="14"/>
        <v>-0.1</v>
      </c>
      <c r="S44" s="432">
        <v>0.25</v>
      </c>
      <c r="T44" s="432">
        <v>0.15</v>
      </c>
      <c r="U44" s="433">
        <f t="shared" si="15"/>
        <v>-0.1</v>
      </c>
      <c r="V44" s="432">
        <v>0</v>
      </c>
      <c r="W44" s="432">
        <v>0</v>
      </c>
      <c r="X44" s="433">
        <f t="shared" si="16"/>
        <v>0</v>
      </c>
      <c r="Y44" s="432">
        <v>0</v>
      </c>
      <c r="Z44" s="434">
        <v>0</v>
      </c>
      <c r="AA44" s="435">
        <f t="shared" si="17"/>
        <v>0</v>
      </c>
      <c r="AB44" s="446"/>
    </row>
    <row r="45" spans="1:28" s="447" customFormat="1" ht="15.75" thickBot="1" x14ac:dyDescent="0.3">
      <c r="A45" s="730"/>
      <c r="B45" s="733"/>
      <c r="C45" s="412" t="s">
        <v>34</v>
      </c>
      <c r="D45" s="436"/>
      <c r="E45" s="437"/>
      <c r="F45" s="438"/>
      <c r="G45" s="431">
        <v>0.25</v>
      </c>
      <c r="H45" s="440">
        <v>0.15</v>
      </c>
      <c r="I45" s="441">
        <f>H45-G45</f>
        <v>-0.1</v>
      </c>
      <c r="J45" s="431">
        <v>0.25</v>
      </c>
      <c r="K45" s="440">
        <v>0.15</v>
      </c>
      <c r="L45" s="441">
        <f>K45-J45</f>
        <v>-0.1</v>
      </c>
      <c r="M45" s="440">
        <v>0.25</v>
      </c>
      <c r="N45" s="440">
        <v>0.15</v>
      </c>
      <c r="O45" s="441">
        <f>N45-M45</f>
        <v>-0.1</v>
      </c>
      <c r="P45" s="440">
        <v>0.25</v>
      </c>
      <c r="Q45" s="442">
        <v>0.15</v>
      </c>
      <c r="R45" s="443">
        <f>Q45-P45</f>
        <v>-0.1</v>
      </c>
      <c r="S45" s="440">
        <v>0.25</v>
      </c>
      <c r="T45" s="440">
        <v>0.15</v>
      </c>
      <c r="U45" s="441">
        <f>T45-S45</f>
        <v>-0.1</v>
      </c>
      <c r="V45" s="440">
        <v>0</v>
      </c>
      <c r="W45" s="440">
        <v>0</v>
      </c>
      <c r="X45" s="441">
        <f>W45-V45</f>
        <v>0</v>
      </c>
      <c r="Y45" s="440">
        <v>0</v>
      </c>
      <c r="Z45" s="442">
        <v>0</v>
      </c>
      <c r="AA45" s="443">
        <f>Z45-Y45</f>
        <v>0</v>
      </c>
      <c r="AB45" s="446"/>
    </row>
    <row r="46" spans="1:28" s="445" customFormat="1" ht="14.45" customHeight="1" x14ac:dyDescent="0.25">
      <c r="A46" s="728" t="s">
        <v>199</v>
      </c>
      <c r="B46" s="731" t="s">
        <v>38</v>
      </c>
      <c r="C46" s="394" t="s">
        <v>25</v>
      </c>
      <c r="D46" s="420">
        <f>SUM(G46,J46,M46,P46,S46,V46,Y46)</f>
        <v>5</v>
      </c>
      <c r="E46" s="421">
        <f>SUM(H46,K46,N46,Q46,T46,W46,Z46)</f>
        <v>2.5</v>
      </c>
      <c r="F46" s="422">
        <f>D46-E46</f>
        <v>2.5</v>
      </c>
      <c r="G46" s="423">
        <v>1</v>
      </c>
      <c r="H46" s="432">
        <v>0.5</v>
      </c>
      <c r="I46" s="425">
        <f t="shared" ref="I46:I54" si="18">H46-G46</f>
        <v>-0.5</v>
      </c>
      <c r="J46" s="423">
        <v>1</v>
      </c>
      <c r="K46" s="432">
        <v>0.5</v>
      </c>
      <c r="L46" s="425">
        <f t="shared" ref="L46:L54" si="19">K46-J46</f>
        <v>-0.5</v>
      </c>
      <c r="M46" s="424">
        <v>1</v>
      </c>
      <c r="N46" s="424">
        <v>0.5</v>
      </c>
      <c r="O46" s="425">
        <f t="shared" ref="O46:O54" si="20">N46-M46</f>
        <v>-0.5</v>
      </c>
      <c r="P46" s="424">
        <v>1</v>
      </c>
      <c r="Q46" s="426">
        <v>0.5</v>
      </c>
      <c r="R46" s="427">
        <f t="shared" ref="R46:R54" si="21">Q46-P46</f>
        <v>-0.5</v>
      </c>
      <c r="S46" s="424">
        <v>1</v>
      </c>
      <c r="T46" s="424">
        <v>0.5</v>
      </c>
      <c r="U46" s="425">
        <f t="shared" ref="U46:U54" si="22">T46-S46</f>
        <v>-0.5</v>
      </c>
      <c r="V46" s="424">
        <v>0</v>
      </c>
      <c r="W46" s="424">
        <v>0</v>
      </c>
      <c r="X46" s="425">
        <f t="shared" ref="X46:X54" si="23">W46-V46</f>
        <v>0</v>
      </c>
      <c r="Y46" s="424">
        <v>0</v>
      </c>
      <c r="Z46" s="426">
        <v>0</v>
      </c>
      <c r="AA46" s="427">
        <f t="shared" ref="AA46:AA54" si="24">Z46-Y46</f>
        <v>0</v>
      </c>
      <c r="AB46" s="444">
        <f>'Analyza citlivosti - AgendovéIS'!Q7</f>
        <v>0</v>
      </c>
    </row>
    <row r="47" spans="1:28" s="447" customFormat="1" x14ac:dyDescent="0.25">
      <c r="A47" s="729"/>
      <c r="B47" s="732"/>
      <c r="C47" s="404" t="s">
        <v>26</v>
      </c>
      <c r="D47" s="428">
        <f t="shared" ref="D47:D55" si="25">SUM(G47,J47,M47,P47,S47,V47,Y47)</f>
        <v>5</v>
      </c>
      <c r="E47" s="429">
        <f t="shared" ref="E47:E55" si="26">SUM(H47,K47,N47,Q47,T47,W47,Z47)</f>
        <v>2.5</v>
      </c>
      <c r="F47" s="430">
        <f t="shared" ref="F47:F55" si="27">D47-E47</f>
        <v>2.5</v>
      </c>
      <c r="G47" s="431">
        <v>1</v>
      </c>
      <c r="H47" s="432">
        <v>0.5</v>
      </c>
      <c r="I47" s="433">
        <f t="shared" si="18"/>
        <v>-0.5</v>
      </c>
      <c r="J47" s="431">
        <v>1</v>
      </c>
      <c r="K47" s="432">
        <v>0.5</v>
      </c>
      <c r="L47" s="433">
        <f t="shared" si="19"/>
        <v>-0.5</v>
      </c>
      <c r="M47" s="432">
        <v>1</v>
      </c>
      <c r="N47" s="432">
        <v>0.5</v>
      </c>
      <c r="O47" s="433">
        <f t="shared" si="20"/>
        <v>-0.5</v>
      </c>
      <c r="P47" s="432">
        <v>1</v>
      </c>
      <c r="Q47" s="434">
        <v>0.5</v>
      </c>
      <c r="R47" s="435">
        <f t="shared" si="21"/>
        <v>-0.5</v>
      </c>
      <c r="S47" s="432">
        <v>1</v>
      </c>
      <c r="T47" s="432">
        <v>0.5</v>
      </c>
      <c r="U47" s="433">
        <f t="shared" si="22"/>
        <v>-0.5</v>
      </c>
      <c r="V47" s="432">
        <v>0</v>
      </c>
      <c r="W47" s="432">
        <v>0</v>
      </c>
      <c r="X47" s="433">
        <f t="shared" si="23"/>
        <v>0</v>
      </c>
      <c r="Y47" s="432">
        <v>0</v>
      </c>
      <c r="Z47" s="434">
        <v>0</v>
      </c>
      <c r="AA47" s="435">
        <f t="shared" si="24"/>
        <v>0</v>
      </c>
      <c r="AB47" s="446"/>
    </row>
    <row r="48" spans="1:28" s="447" customFormat="1" x14ac:dyDescent="0.25">
      <c r="A48" s="729"/>
      <c r="B48" s="732"/>
      <c r="C48" s="404" t="s">
        <v>27</v>
      </c>
      <c r="D48" s="428">
        <f t="shared" si="25"/>
        <v>5</v>
      </c>
      <c r="E48" s="429">
        <f t="shared" si="26"/>
        <v>2.5</v>
      </c>
      <c r="F48" s="430">
        <f t="shared" si="27"/>
        <v>2.5</v>
      </c>
      <c r="G48" s="431">
        <v>1</v>
      </c>
      <c r="H48" s="432">
        <v>0.5</v>
      </c>
      <c r="I48" s="433">
        <f t="shared" si="18"/>
        <v>-0.5</v>
      </c>
      <c r="J48" s="431">
        <v>1</v>
      </c>
      <c r="K48" s="432">
        <v>0.5</v>
      </c>
      <c r="L48" s="433">
        <f t="shared" si="19"/>
        <v>-0.5</v>
      </c>
      <c r="M48" s="432">
        <v>1</v>
      </c>
      <c r="N48" s="432">
        <v>0.5</v>
      </c>
      <c r="O48" s="433">
        <f t="shared" si="20"/>
        <v>-0.5</v>
      </c>
      <c r="P48" s="432">
        <v>1</v>
      </c>
      <c r="Q48" s="434">
        <v>0.5</v>
      </c>
      <c r="R48" s="435">
        <f t="shared" si="21"/>
        <v>-0.5</v>
      </c>
      <c r="S48" s="432">
        <v>1</v>
      </c>
      <c r="T48" s="432">
        <v>0.5</v>
      </c>
      <c r="U48" s="433">
        <f t="shared" si="22"/>
        <v>-0.5</v>
      </c>
      <c r="V48" s="432">
        <v>0</v>
      </c>
      <c r="W48" s="432">
        <v>0</v>
      </c>
      <c r="X48" s="433">
        <f t="shared" si="23"/>
        <v>0</v>
      </c>
      <c r="Y48" s="432">
        <v>0</v>
      </c>
      <c r="Z48" s="434">
        <v>0</v>
      </c>
      <c r="AA48" s="435">
        <f t="shared" si="24"/>
        <v>0</v>
      </c>
      <c r="AB48" s="446"/>
    </row>
    <row r="49" spans="1:28" s="447" customFormat="1" x14ac:dyDescent="0.25">
      <c r="A49" s="729"/>
      <c r="B49" s="732"/>
      <c r="C49" s="404" t="s">
        <v>28</v>
      </c>
      <c r="D49" s="428">
        <f t="shared" si="25"/>
        <v>5</v>
      </c>
      <c r="E49" s="429">
        <f t="shared" si="26"/>
        <v>2.5</v>
      </c>
      <c r="F49" s="430">
        <f t="shared" si="27"/>
        <v>2.5</v>
      </c>
      <c r="G49" s="431">
        <v>1</v>
      </c>
      <c r="H49" s="432">
        <v>0.5</v>
      </c>
      <c r="I49" s="433">
        <f t="shared" si="18"/>
        <v>-0.5</v>
      </c>
      <c r="J49" s="431">
        <v>1</v>
      </c>
      <c r="K49" s="432">
        <v>0.5</v>
      </c>
      <c r="L49" s="433">
        <f t="shared" si="19"/>
        <v>-0.5</v>
      </c>
      <c r="M49" s="432">
        <v>1</v>
      </c>
      <c r="N49" s="432">
        <v>0.5</v>
      </c>
      <c r="O49" s="433">
        <f t="shared" si="20"/>
        <v>-0.5</v>
      </c>
      <c r="P49" s="432">
        <v>1</v>
      </c>
      <c r="Q49" s="434">
        <v>0.5</v>
      </c>
      <c r="R49" s="435">
        <f t="shared" si="21"/>
        <v>-0.5</v>
      </c>
      <c r="S49" s="432">
        <v>1</v>
      </c>
      <c r="T49" s="432">
        <v>0.5</v>
      </c>
      <c r="U49" s="433">
        <f t="shared" si="22"/>
        <v>-0.5</v>
      </c>
      <c r="V49" s="432">
        <v>0</v>
      </c>
      <c r="W49" s="432">
        <v>0</v>
      </c>
      <c r="X49" s="433">
        <f t="shared" si="23"/>
        <v>0</v>
      </c>
      <c r="Y49" s="432">
        <v>0</v>
      </c>
      <c r="Z49" s="434">
        <v>0</v>
      </c>
      <c r="AA49" s="435">
        <f t="shared" si="24"/>
        <v>0</v>
      </c>
      <c r="AB49" s="446"/>
    </row>
    <row r="50" spans="1:28" s="447" customFormat="1" x14ac:dyDescent="0.25">
      <c r="A50" s="729"/>
      <c r="B50" s="732"/>
      <c r="C50" s="404" t="s">
        <v>29</v>
      </c>
      <c r="D50" s="428">
        <f t="shared" si="25"/>
        <v>5</v>
      </c>
      <c r="E50" s="429">
        <f t="shared" si="26"/>
        <v>2.5</v>
      </c>
      <c r="F50" s="430">
        <f t="shared" si="27"/>
        <v>2.5</v>
      </c>
      <c r="G50" s="431">
        <v>1</v>
      </c>
      <c r="H50" s="432">
        <v>0.5</v>
      </c>
      <c r="I50" s="433">
        <f t="shared" si="18"/>
        <v>-0.5</v>
      </c>
      <c r="J50" s="431">
        <v>1</v>
      </c>
      <c r="K50" s="432">
        <v>0.5</v>
      </c>
      <c r="L50" s="433">
        <f t="shared" si="19"/>
        <v>-0.5</v>
      </c>
      <c r="M50" s="432">
        <v>1</v>
      </c>
      <c r="N50" s="432">
        <v>0.5</v>
      </c>
      <c r="O50" s="433">
        <f t="shared" si="20"/>
        <v>-0.5</v>
      </c>
      <c r="P50" s="432">
        <v>1</v>
      </c>
      <c r="Q50" s="434">
        <v>0.5</v>
      </c>
      <c r="R50" s="435">
        <f t="shared" si="21"/>
        <v>-0.5</v>
      </c>
      <c r="S50" s="432">
        <v>1</v>
      </c>
      <c r="T50" s="432">
        <v>0.5</v>
      </c>
      <c r="U50" s="433">
        <f t="shared" si="22"/>
        <v>-0.5</v>
      </c>
      <c r="V50" s="432">
        <v>0</v>
      </c>
      <c r="W50" s="432">
        <v>0</v>
      </c>
      <c r="X50" s="433">
        <f t="shared" si="23"/>
        <v>0</v>
      </c>
      <c r="Y50" s="432">
        <v>0</v>
      </c>
      <c r="Z50" s="434">
        <v>0</v>
      </c>
      <c r="AA50" s="435">
        <f t="shared" si="24"/>
        <v>0</v>
      </c>
      <c r="AB50" s="446"/>
    </row>
    <row r="51" spans="1:28" s="447" customFormat="1" x14ac:dyDescent="0.25">
      <c r="A51" s="729"/>
      <c r="B51" s="732"/>
      <c r="C51" s="404" t="s">
        <v>30</v>
      </c>
      <c r="D51" s="428">
        <f t="shared" si="25"/>
        <v>5</v>
      </c>
      <c r="E51" s="429">
        <f t="shared" si="26"/>
        <v>2.5</v>
      </c>
      <c r="F51" s="430">
        <f t="shared" si="27"/>
        <v>2.5</v>
      </c>
      <c r="G51" s="431">
        <v>1</v>
      </c>
      <c r="H51" s="432">
        <v>0.5</v>
      </c>
      <c r="I51" s="433">
        <f t="shared" si="18"/>
        <v>-0.5</v>
      </c>
      <c r="J51" s="431">
        <v>1</v>
      </c>
      <c r="K51" s="432">
        <v>0.5</v>
      </c>
      <c r="L51" s="433">
        <f t="shared" si="19"/>
        <v>-0.5</v>
      </c>
      <c r="M51" s="432">
        <v>1</v>
      </c>
      <c r="N51" s="432">
        <v>0.5</v>
      </c>
      <c r="O51" s="433">
        <f t="shared" si="20"/>
        <v>-0.5</v>
      </c>
      <c r="P51" s="432">
        <v>1</v>
      </c>
      <c r="Q51" s="434">
        <v>0.5</v>
      </c>
      <c r="R51" s="435">
        <f t="shared" si="21"/>
        <v>-0.5</v>
      </c>
      <c r="S51" s="432">
        <v>1</v>
      </c>
      <c r="T51" s="432">
        <v>0.5</v>
      </c>
      <c r="U51" s="433">
        <f t="shared" si="22"/>
        <v>-0.5</v>
      </c>
      <c r="V51" s="432">
        <v>0</v>
      </c>
      <c r="W51" s="432">
        <v>0</v>
      </c>
      <c r="X51" s="433">
        <f t="shared" si="23"/>
        <v>0</v>
      </c>
      <c r="Y51" s="432">
        <v>0</v>
      </c>
      <c r="Z51" s="434">
        <v>0</v>
      </c>
      <c r="AA51" s="435">
        <f t="shared" si="24"/>
        <v>0</v>
      </c>
      <c r="AB51" s="446"/>
    </row>
    <row r="52" spans="1:28" s="447" customFormat="1" x14ac:dyDescent="0.25">
      <c r="A52" s="729"/>
      <c r="B52" s="732"/>
      <c r="C52" s="404" t="s">
        <v>31</v>
      </c>
      <c r="D52" s="428">
        <f t="shared" si="25"/>
        <v>5</v>
      </c>
      <c r="E52" s="429">
        <f t="shared" si="26"/>
        <v>2.5</v>
      </c>
      <c r="F52" s="430">
        <f t="shared" si="27"/>
        <v>2.5</v>
      </c>
      <c r="G52" s="431">
        <v>1</v>
      </c>
      <c r="H52" s="432">
        <v>0.5</v>
      </c>
      <c r="I52" s="433">
        <f t="shared" si="18"/>
        <v>-0.5</v>
      </c>
      <c r="J52" s="431">
        <v>1</v>
      </c>
      <c r="K52" s="432">
        <v>0.5</v>
      </c>
      <c r="L52" s="433">
        <f t="shared" si="19"/>
        <v>-0.5</v>
      </c>
      <c r="M52" s="432">
        <v>1</v>
      </c>
      <c r="N52" s="432">
        <v>0.5</v>
      </c>
      <c r="O52" s="433">
        <f t="shared" si="20"/>
        <v>-0.5</v>
      </c>
      <c r="P52" s="432">
        <v>1</v>
      </c>
      <c r="Q52" s="434">
        <v>0.5</v>
      </c>
      <c r="R52" s="435">
        <f t="shared" si="21"/>
        <v>-0.5</v>
      </c>
      <c r="S52" s="432">
        <v>1</v>
      </c>
      <c r="T52" s="432">
        <v>0.5</v>
      </c>
      <c r="U52" s="433">
        <f t="shared" si="22"/>
        <v>-0.5</v>
      </c>
      <c r="V52" s="432">
        <v>0</v>
      </c>
      <c r="W52" s="432">
        <v>0</v>
      </c>
      <c r="X52" s="433">
        <f t="shared" si="23"/>
        <v>0</v>
      </c>
      <c r="Y52" s="432">
        <v>0</v>
      </c>
      <c r="Z52" s="434">
        <v>0</v>
      </c>
      <c r="AA52" s="435">
        <f t="shared" si="24"/>
        <v>0</v>
      </c>
      <c r="AB52" s="446"/>
    </row>
    <row r="53" spans="1:28" s="447" customFormat="1" x14ac:dyDescent="0.25">
      <c r="A53" s="729"/>
      <c r="B53" s="732"/>
      <c r="C53" s="404" t="s">
        <v>32</v>
      </c>
      <c r="D53" s="428">
        <f t="shared" si="25"/>
        <v>5</v>
      </c>
      <c r="E53" s="429">
        <f t="shared" si="26"/>
        <v>2.5</v>
      </c>
      <c r="F53" s="430">
        <f t="shared" si="27"/>
        <v>2.5</v>
      </c>
      <c r="G53" s="431">
        <v>1</v>
      </c>
      <c r="H53" s="432">
        <v>0.5</v>
      </c>
      <c r="I53" s="433">
        <f t="shared" si="18"/>
        <v>-0.5</v>
      </c>
      <c r="J53" s="431">
        <v>1</v>
      </c>
      <c r="K53" s="432">
        <v>0.5</v>
      </c>
      <c r="L53" s="433">
        <f t="shared" si="19"/>
        <v>-0.5</v>
      </c>
      <c r="M53" s="432">
        <v>1</v>
      </c>
      <c r="N53" s="432">
        <v>0.5</v>
      </c>
      <c r="O53" s="433">
        <f t="shared" si="20"/>
        <v>-0.5</v>
      </c>
      <c r="P53" s="432">
        <v>1</v>
      </c>
      <c r="Q53" s="434">
        <v>0.5</v>
      </c>
      <c r="R53" s="435">
        <f t="shared" si="21"/>
        <v>-0.5</v>
      </c>
      <c r="S53" s="432">
        <v>1</v>
      </c>
      <c r="T53" s="432">
        <v>0.5</v>
      </c>
      <c r="U53" s="433">
        <f t="shared" si="22"/>
        <v>-0.5</v>
      </c>
      <c r="V53" s="432">
        <v>0</v>
      </c>
      <c r="W53" s="432">
        <v>0</v>
      </c>
      <c r="X53" s="433">
        <f t="shared" si="23"/>
        <v>0</v>
      </c>
      <c r="Y53" s="432">
        <v>0</v>
      </c>
      <c r="Z53" s="434">
        <v>0</v>
      </c>
      <c r="AA53" s="435">
        <f t="shared" si="24"/>
        <v>0</v>
      </c>
      <c r="AB53" s="446"/>
    </row>
    <row r="54" spans="1:28" s="447" customFormat="1" x14ac:dyDescent="0.25">
      <c r="A54" s="729"/>
      <c r="B54" s="732"/>
      <c r="C54" s="404" t="s">
        <v>33</v>
      </c>
      <c r="D54" s="428">
        <f t="shared" si="25"/>
        <v>5</v>
      </c>
      <c r="E54" s="429">
        <f t="shared" si="26"/>
        <v>2.5</v>
      </c>
      <c r="F54" s="430">
        <f t="shared" si="27"/>
        <v>2.5</v>
      </c>
      <c r="G54" s="431">
        <v>1</v>
      </c>
      <c r="H54" s="432">
        <v>0.5</v>
      </c>
      <c r="I54" s="433">
        <f t="shared" si="18"/>
        <v>-0.5</v>
      </c>
      <c r="J54" s="431">
        <v>1</v>
      </c>
      <c r="K54" s="432">
        <v>0.5</v>
      </c>
      <c r="L54" s="433">
        <f t="shared" si="19"/>
        <v>-0.5</v>
      </c>
      <c r="M54" s="432">
        <v>1</v>
      </c>
      <c r="N54" s="432">
        <v>0.5</v>
      </c>
      <c r="O54" s="433">
        <f t="shared" si="20"/>
        <v>-0.5</v>
      </c>
      <c r="P54" s="432">
        <v>1</v>
      </c>
      <c r="Q54" s="434">
        <v>0.5</v>
      </c>
      <c r="R54" s="435">
        <f t="shared" si="21"/>
        <v>-0.5</v>
      </c>
      <c r="S54" s="432">
        <v>1</v>
      </c>
      <c r="T54" s="432">
        <v>0.5</v>
      </c>
      <c r="U54" s="433">
        <f t="shared" si="22"/>
        <v>-0.5</v>
      </c>
      <c r="V54" s="432">
        <v>0</v>
      </c>
      <c r="W54" s="432">
        <v>0</v>
      </c>
      <c r="X54" s="433">
        <f t="shared" si="23"/>
        <v>0</v>
      </c>
      <c r="Y54" s="432">
        <v>0</v>
      </c>
      <c r="Z54" s="434">
        <v>0</v>
      </c>
      <c r="AA54" s="435">
        <f t="shared" si="24"/>
        <v>0</v>
      </c>
      <c r="AB54" s="446"/>
    </row>
    <row r="55" spans="1:28" s="447" customFormat="1" ht="15.75" thickBot="1" x14ac:dyDescent="0.3">
      <c r="A55" s="730"/>
      <c r="B55" s="733"/>
      <c r="C55" s="412" t="s">
        <v>34</v>
      </c>
      <c r="D55" s="436">
        <f t="shared" si="25"/>
        <v>5</v>
      </c>
      <c r="E55" s="437">
        <f t="shared" si="26"/>
        <v>2.5</v>
      </c>
      <c r="F55" s="438">
        <f t="shared" si="27"/>
        <v>2.5</v>
      </c>
      <c r="G55" s="439">
        <v>1</v>
      </c>
      <c r="H55" s="440">
        <v>0.5</v>
      </c>
      <c r="I55" s="441">
        <f>H55-G55</f>
        <v>-0.5</v>
      </c>
      <c r="J55" s="439">
        <v>1</v>
      </c>
      <c r="K55" s="440">
        <v>0.5</v>
      </c>
      <c r="L55" s="441">
        <f>K55-J55</f>
        <v>-0.5</v>
      </c>
      <c r="M55" s="440">
        <v>1</v>
      </c>
      <c r="N55" s="440">
        <v>0.5</v>
      </c>
      <c r="O55" s="441">
        <f>N55-M55</f>
        <v>-0.5</v>
      </c>
      <c r="P55" s="440">
        <v>1</v>
      </c>
      <c r="Q55" s="442">
        <v>0.5</v>
      </c>
      <c r="R55" s="443">
        <f>Q55-P55</f>
        <v>-0.5</v>
      </c>
      <c r="S55" s="440">
        <v>1</v>
      </c>
      <c r="T55" s="440">
        <v>0.5</v>
      </c>
      <c r="U55" s="441">
        <f>T55-S55</f>
        <v>-0.5</v>
      </c>
      <c r="V55" s="440">
        <v>0</v>
      </c>
      <c r="W55" s="440">
        <v>0</v>
      </c>
      <c r="X55" s="441">
        <f>W55-V55</f>
        <v>0</v>
      </c>
      <c r="Y55" s="440">
        <v>0</v>
      </c>
      <c r="Z55" s="442">
        <v>0</v>
      </c>
      <c r="AA55" s="443">
        <f>Z55-Y55</f>
        <v>0</v>
      </c>
      <c r="AB55" s="446"/>
    </row>
    <row r="56" spans="1:28" s="445" customFormat="1" ht="14.25" customHeight="1" x14ac:dyDescent="0.25">
      <c r="A56" s="729" t="s">
        <v>39</v>
      </c>
      <c r="B56" s="732" t="s">
        <v>13</v>
      </c>
      <c r="C56" s="404" t="s">
        <v>25</v>
      </c>
      <c r="D56" s="395">
        <f>G56+J56+M56+P56</f>
        <v>0</v>
      </c>
      <c r="E56" s="396">
        <f>H56+K56+N56+Q56</f>
        <v>0</v>
      </c>
      <c r="F56" s="397">
        <f>I56+L56+O56+R56</f>
        <v>0</v>
      </c>
      <c r="G56" s="423">
        <v>0</v>
      </c>
      <c r="H56" s="423">
        <v>0</v>
      </c>
      <c r="I56" s="399">
        <f t="shared" ref="I56:I65" si="28">H56-G56</f>
        <v>0</v>
      </c>
      <c r="J56" s="423">
        <v>0</v>
      </c>
      <c r="K56" s="423">
        <v>0</v>
      </c>
      <c r="L56" s="399">
        <f t="shared" ref="L56:L65" si="29">K56-J56</f>
        <v>0</v>
      </c>
      <c r="M56" s="423">
        <v>0</v>
      </c>
      <c r="N56" s="423">
        <v>0</v>
      </c>
      <c r="O56" s="399">
        <f t="shared" ref="O56:O65" si="30">N56-M56</f>
        <v>0</v>
      </c>
      <c r="P56" s="423">
        <v>0</v>
      </c>
      <c r="Q56" s="423">
        <v>0</v>
      </c>
      <c r="R56" s="401">
        <f t="shared" ref="R56:R65" si="31">Q56-P56</f>
        <v>0</v>
      </c>
      <c r="S56" s="423">
        <v>0</v>
      </c>
      <c r="T56" s="423">
        <v>0</v>
      </c>
      <c r="U56" s="399">
        <f t="shared" ref="U56:U65" si="32">T56-S56</f>
        <v>0</v>
      </c>
      <c r="V56" s="423">
        <v>0</v>
      </c>
      <c r="W56" s="423">
        <v>0</v>
      </c>
      <c r="X56" s="399">
        <f t="shared" ref="X56:X65" si="33">W56-V56</f>
        <v>0</v>
      </c>
      <c r="Y56" s="423">
        <v>0</v>
      </c>
      <c r="Z56" s="423">
        <v>0</v>
      </c>
      <c r="AA56" s="401">
        <f t="shared" ref="AA56:AA65" si="34">Z56-Y56</f>
        <v>0</v>
      </c>
      <c r="AB56" s="444"/>
    </row>
    <row r="57" spans="1:28" s="447" customFormat="1" x14ac:dyDescent="0.25">
      <c r="A57" s="729"/>
      <c r="B57" s="732"/>
      <c r="C57" s="404" t="s">
        <v>26</v>
      </c>
      <c r="D57" s="405">
        <f t="shared" ref="D57:D65" si="35">G57+J57+M57+P57</f>
        <v>0</v>
      </c>
      <c r="E57" s="406">
        <f t="shared" ref="E57:E65" si="36">H57+K57+N57+Q57</f>
        <v>0</v>
      </c>
      <c r="F57" s="407">
        <f t="shared" ref="F57:F65" si="37">I57+L57+O57+R57</f>
        <v>0</v>
      </c>
      <c r="G57" s="431">
        <v>0</v>
      </c>
      <c r="H57" s="431">
        <v>0</v>
      </c>
      <c r="I57" s="409">
        <f t="shared" si="28"/>
        <v>0</v>
      </c>
      <c r="J57" s="431">
        <v>0</v>
      </c>
      <c r="K57" s="431">
        <v>0</v>
      </c>
      <c r="L57" s="409">
        <f t="shared" si="29"/>
        <v>0</v>
      </c>
      <c r="M57" s="431">
        <v>0</v>
      </c>
      <c r="N57" s="431">
        <v>0</v>
      </c>
      <c r="O57" s="409">
        <f t="shared" si="30"/>
        <v>0</v>
      </c>
      <c r="P57" s="431">
        <v>0</v>
      </c>
      <c r="Q57" s="431">
        <v>0</v>
      </c>
      <c r="R57" s="411">
        <f t="shared" si="31"/>
        <v>0</v>
      </c>
      <c r="S57" s="431">
        <v>0</v>
      </c>
      <c r="T57" s="431">
        <v>0</v>
      </c>
      <c r="U57" s="409">
        <f t="shared" si="32"/>
        <v>0</v>
      </c>
      <c r="V57" s="431">
        <v>0</v>
      </c>
      <c r="W57" s="431">
        <v>0</v>
      </c>
      <c r="X57" s="409">
        <f t="shared" si="33"/>
        <v>0</v>
      </c>
      <c r="Y57" s="431">
        <v>0</v>
      </c>
      <c r="Z57" s="431">
        <v>0</v>
      </c>
      <c r="AA57" s="411">
        <f t="shared" si="34"/>
        <v>0</v>
      </c>
      <c r="AB57" s="446"/>
    </row>
    <row r="58" spans="1:28" s="447" customFormat="1" x14ac:dyDescent="0.25">
      <c r="A58" s="729"/>
      <c r="B58" s="732"/>
      <c r="C58" s="404" t="s">
        <v>27</v>
      </c>
      <c r="D58" s="405">
        <f t="shared" si="35"/>
        <v>0</v>
      </c>
      <c r="E58" s="406">
        <f t="shared" si="36"/>
        <v>0</v>
      </c>
      <c r="F58" s="407">
        <f t="shared" si="37"/>
        <v>0</v>
      </c>
      <c r="G58" s="431">
        <v>0</v>
      </c>
      <c r="H58" s="431">
        <v>0</v>
      </c>
      <c r="I58" s="409">
        <f t="shared" si="28"/>
        <v>0</v>
      </c>
      <c r="J58" s="431">
        <v>0</v>
      </c>
      <c r="K58" s="431">
        <v>0</v>
      </c>
      <c r="L58" s="409">
        <f t="shared" si="29"/>
        <v>0</v>
      </c>
      <c r="M58" s="431">
        <v>0</v>
      </c>
      <c r="N58" s="431">
        <v>0</v>
      </c>
      <c r="O58" s="409">
        <f t="shared" si="30"/>
        <v>0</v>
      </c>
      <c r="P58" s="431">
        <v>0</v>
      </c>
      <c r="Q58" s="431">
        <v>0</v>
      </c>
      <c r="R58" s="411">
        <f t="shared" si="31"/>
        <v>0</v>
      </c>
      <c r="S58" s="431">
        <v>0</v>
      </c>
      <c r="T58" s="431">
        <v>0</v>
      </c>
      <c r="U58" s="409">
        <f t="shared" si="32"/>
        <v>0</v>
      </c>
      <c r="V58" s="431">
        <v>0</v>
      </c>
      <c r="W58" s="431">
        <v>0</v>
      </c>
      <c r="X58" s="409">
        <f t="shared" si="33"/>
        <v>0</v>
      </c>
      <c r="Y58" s="431">
        <v>0</v>
      </c>
      <c r="Z58" s="431">
        <v>0</v>
      </c>
      <c r="AA58" s="411">
        <f t="shared" si="34"/>
        <v>0</v>
      </c>
      <c r="AB58" s="446"/>
    </row>
    <row r="59" spans="1:28" s="447" customFormat="1" x14ac:dyDescent="0.25">
      <c r="A59" s="729"/>
      <c r="B59" s="732"/>
      <c r="C59" s="404" t="s">
        <v>28</v>
      </c>
      <c r="D59" s="405">
        <f t="shared" si="35"/>
        <v>0</v>
      </c>
      <c r="E59" s="406">
        <f t="shared" si="36"/>
        <v>0</v>
      </c>
      <c r="F59" s="407">
        <f t="shared" si="37"/>
        <v>0</v>
      </c>
      <c r="G59" s="431">
        <v>0</v>
      </c>
      <c r="H59" s="431">
        <v>0</v>
      </c>
      <c r="I59" s="409">
        <f t="shared" si="28"/>
        <v>0</v>
      </c>
      <c r="J59" s="431">
        <v>0</v>
      </c>
      <c r="K59" s="431">
        <v>0</v>
      </c>
      <c r="L59" s="409">
        <f t="shared" si="29"/>
        <v>0</v>
      </c>
      <c r="M59" s="431">
        <v>0</v>
      </c>
      <c r="N59" s="431">
        <v>0</v>
      </c>
      <c r="O59" s="409">
        <f t="shared" si="30"/>
        <v>0</v>
      </c>
      <c r="P59" s="431">
        <v>0</v>
      </c>
      <c r="Q59" s="431">
        <v>0</v>
      </c>
      <c r="R59" s="411">
        <f t="shared" si="31"/>
        <v>0</v>
      </c>
      <c r="S59" s="431">
        <v>0</v>
      </c>
      <c r="T59" s="431">
        <v>0</v>
      </c>
      <c r="U59" s="409">
        <f t="shared" si="32"/>
        <v>0</v>
      </c>
      <c r="V59" s="431">
        <v>0</v>
      </c>
      <c r="W59" s="431">
        <v>0</v>
      </c>
      <c r="X59" s="409">
        <f t="shared" si="33"/>
        <v>0</v>
      </c>
      <c r="Y59" s="431">
        <v>0</v>
      </c>
      <c r="Z59" s="431">
        <v>0</v>
      </c>
      <c r="AA59" s="411">
        <f t="shared" si="34"/>
        <v>0</v>
      </c>
      <c r="AB59" s="446"/>
    </row>
    <row r="60" spans="1:28" s="447" customFormat="1" x14ac:dyDescent="0.25">
      <c r="A60" s="729"/>
      <c r="B60" s="732"/>
      <c r="C60" s="404" t="s">
        <v>29</v>
      </c>
      <c r="D60" s="405">
        <f t="shared" si="35"/>
        <v>0</v>
      </c>
      <c r="E60" s="406">
        <f t="shared" si="36"/>
        <v>0</v>
      </c>
      <c r="F60" s="407">
        <f t="shared" si="37"/>
        <v>0</v>
      </c>
      <c r="G60" s="431">
        <v>0</v>
      </c>
      <c r="H60" s="431">
        <v>0</v>
      </c>
      <c r="I60" s="409">
        <f t="shared" si="28"/>
        <v>0</v>
      </c>
      <c r="J60" s="431">
        <v>0</v>
      </c>
      <c r="K60" s="431">
        <v>0</v>
      </c>
      <c r="L60" s="409">
        <f t="shared" si="29"/>
        <v>0</v>
      </c>
      <c r="M60" s="431">
        <v>0</v>
      </c>
      <c r="N60" s="431">
        <v>0</v>
      </c>
      <c r="O60" s="409">
        <f t="shared" si="30"/>
        <v>0</v>
      </c>
      <c r="P60" s="431">
        <v>0</v>
      </c>
      <c r="Q60" s="431">
        <v>0</v>
      </c>
      <c r="R60" s="411">
        <f t="shared" si="31"/>
        <v>0</v>
      </c>
      <c r="S60" s="431">
        <v>0</v>
      </c>
      <c r="T60" s="431">
        <v>0</v>
      </c>
      <c r="U60" s="409">
        <f t="shared" si="32"/>
        <v>0</v>
      </c>
      <c r="V60" s="431">
        <v>0</v>
      </c>
      <c r="W60" s="431">
        <v>0</v>
      </c>
      <c r="X60" s="409">
        <f t="shared" si="33"/>
        <v>0</v>
      </c>
      <c r="Y60" s="431">
        <v>0</v>
      </c>
      <c r="Z60" s="431">
        <v>0</v>
      </c>
      <c r="AA60" s="411">
        <f t="shared" si="34"/>
        <v>0</v>
      </c>
      <c r="AB60" s="446"/>
    </row>
    <row r="61" spans="1:28" s="447" customFormat="1" x14ac:dyDescent="0.25">
      <c r="A61" s="729"/>
      <c r="B61" s="732"/>
      <c r="C61" s="404" t="s">
        <v>30</v>
      </c>
      <c r="D61" s="405">
        <f t="shared" si="35"/>
        <v>0</v>
      </c>
      <c r="E61" s="406">
        <f t="shared" si="36"/>
        <v>0</v>
      </c>
      <c r="F61" s="407">
        <f t="shared" si="37"/>
        <v>0</v>
      </c>
      <c r="G61" s="431">
        <v>0</v>
      </c>
      <c r="H61" s="431">
        <v>0</v>
      </c>
      <c r="I61" s="409">
        <f t="shared" si="28"/>
        <v>0</v>
      </c>
      <c r="J61" s="431">
        <v>0</v>
      </c>
      <c r="K61" s="431">
        <v>0</v>
      </c>
      <c r="L61" s="409">
        <f t="shared" si="29"/>
        <v>0</v>
      </c>
      <c r="M61" s="431">
        <v>0</v>
      </c>
      <c r="N61" s="431">
        <v>0</v>
      </c>
      <c r="O61" s="409">
        <f t="shared" si="30"/>
        <v>0</v>
      </c>
      <c r="P61" s="431">
        <v>0</v>
      </c>
      <c r="Q61" s="431">
        <v>0</v>
      </c>
      <c r="R61" s="411">
        <f t="shared" si="31"/>
        <v>0</v>
      </c>
      <c r="S61" s="431">
        <v>0</v>
      </c>
      <c r="T61" s="431">
        <v>0</v>
      </c>
      <c r="U61" s="409">
        <f t="shared" si="32"/>
        <v>0</v>
      </c>
      <c r="V61" s="431">
        <v>0</v>
      </c>
      <c r="W61" s="431">
        <v>0</v>
      </c>
      <c r="X61" s="409">
        <f t="shared" si="33"/>
        <v>0</v>
      </c>
      <c r="Y61" s="431">
        <v>0</v>
      </c>
      <c r="Z61" s="431">
        <v>0</v>
      </c>
      <c r="AA61" s="411">
        <f t="shared" si="34"/>
        <v>0</v>
      </c>
      <c r="AB61" s="446"/>
    </row>
    <row r="62" spans="1:28" s="447" customFormat="1" x14ac:dyDescent="0.25">
      <c r="A62" s="729"/>
      <c r="B62" s="732"/>
      <c r="C62" s="404" t="s">
        <v>31</v>
      </c>
      <c r="D62" s="405">
        <f t="shared" si="35"/>
        <v>0</v>
      </c>
      <c r="E62" s="406">
        <f t="shared" si="36"/>
        <v>0</v>
      </c>
      <c r="F62" s="407">
        <f t="shared" si="37"/>
        <v>0</v>
      </c>
      <c r="G62" s="431">
        <v>0</v>
      </c>
      <c r="H62" s="431">
        <v>0</v>
      </c>
      <c r="I62" s="409">
        <f t="shared" si="28"/>
        <v>0</v>
      </c>
      <c r="J62" s="431">
        <v>0</v>
      </c>
      <c r="K62" s="431">
        <v>0</v>
      </c>
      <c r="L62" s="409">
        <f t="shared" si="29"/>
        <v>0</v>
      </c>
      <c r="M62" s="431">
        <v>0</v>
      </c>
      <c r="N62" s="431">
        <v>0</v>
      </c>
      <c r="O62" s="409">
        <f t="shared" si="30"/>
        <v>0</v>
      </c>
      <c r="P62" s="431">
        <v>0</v>
      </c>
      <c r="Q62" s="431">
        <v>0</v>
      </c>
      <c r="R62" s="411">
        <f t="shared" si="31"/>
        <v>0</v>
      </c>
      <c r="S62" s="431">
        <v>0</v>
      </c>
      <c r="T62" s="431">
        <v>0</v>
      </c>
      <c r="U62" s="409">
        <f t="shared" si="32"/>
        <v>0</v>
      </c>
      <c r="V62" s="431">
        <v>0</v>
      </c>
      <c r="W62" s="431">
        <v>0</v>
      </c>
      <c r="X62" s="409">
        <f t="shared" si="33"/>
        <v>0</v>
      </c>
      <c r="Y62" s="431">
        <v>0</v>
      </c>
      <c r="Z62" s="431">
        <v>0</v>
      </c>
      <c r="AA62" s="411">
        <f t="shared" si="34"/>
        <v>0</v>
      </c>
      <c r="AB62" s="446"/>
    </row>
    <row r="63" spans="1:28" s="447" customFormat="1" x14ac:dyDescent="0.25">
      <c r="A63" s="729"/>
      <c r="B63" s="732"/>
      <c r="C63" s="404" t="s">
        <v>32</v>
      </c>
      <c r="D63" s="405">
        <f t="shared" si="35"/>
        <v>0</v>
      </c>
      <c r="E63" s="406">
        <f t="shared" si="36"/>
        <v>0</v>
      </c>
      <c r="F63" s="407">
        <f t="shared" si="37"/>
        <v>0</v>
      </c>
      <c r="G63" s="431">
        <v>0</v>
      </c>
      <c r="H63" s="431">
        <v>0</v>
      </c>
      <c r="I63" s="409">
        <f t="shared" si="28"/>
        <v>0</v>
      </c>
      <c r="J63" s="431">
        <v>0</v>
      </c>
      <c r="K63" s="431">
        <v>0</v>
      </c>
      <c r="L63" s="409">
        <f t="shared" si="29"/>
        <v>0</v>
      </c>
      <c r="M63" s="431">
        <v>0</v>
      </c>
      <c r="N63" s="431">
        <v>0</v>
      </c>
      <c r="O63" s="409">
        <f t="shared" si="30"/>
        <v>0</v>
      </c>
      <c r="P63" s="431">
        <v>0</v>
      </c>
      <c r="Q63" s="431">
        <v>0</v>
      </c>
      <c r="R63" s="411">
        <f t="shared" si="31"/>
        <v>0</v>
      </c>
      <c r="S63" s="431">
        <v>0</v>
      </c>
      <c r="T63" s="431">
        <v>0</v>
      </c>
      <c r="U63" s="409">
        <f t="shared" si="32"/>
        <v>0</v>
      </c>
      <c r="V63" s="431">
        <v>0</v>
      </c>
      <c r="W63" s="431">
        <v>0</v>
      </c>
      <c r="X63" s="409">
        <f t="shared" si="33"/>
        <v>0</v>
      </c>
      <c r="Y63" s="431">
        <v>0</v>
      </c>
      <c r="Z63" s="431">
        <v>0</v>
      </c>
      <c r="AA63" s="411">
        <f t="shared" si="34"/>
        <v>0</v>
      </c>
      <c r="AB63" s="446"/>
    </row>
    <row r="64" spans="1:28" s="447" customFormat="1" x14ac:dyDescent="0.25">
      <c r="A64" s="729"/>
      <c r="B64" s="732"/>
      <c r="C64" s="404" t="s">
        <v>33</v>
      </c>
      <c r="D64" s="405">
        <f t="shared" si="35"/>
        <v>0</v>
      </c>
      <c r="E64" s="406">
        <f t="shared" si="36"/>
        <v>0</v>
      </c>
      <c r="F64" s="407">
        <f t="shared" si="37"/>
        <v>0</v>
      </c>
      <c r="G64" s="431">
        <v>0</v>
      </c>
      <c r="H64" s="431">
        <v>0</v>
      </c>
      <c r="I64" s="409">
        <f t="shared" si="28"/>
        <v>0</v>
      </c>
      <c r="J64" s="431">
        <v>0</v>
      </c>
      <c r="K64" s="431">
        <v>0</v>
      </c>
      <c r="L64" s="409">
        <f t="shared" si="29"/>
        <v>0</v>
      </c>
      <c r="M64" s="431">
        <v>0</v>
      </c>
      <c r="N64" s="431">
        <v>0</v>
      </c>
      <c r="O64" s="409">
        <f t="shared" si="30"/>
        <v>0</v>
      </c>
      <c r="P64" s="431">
        <v>0</v>
      </c>
      <c r="Q64" s="431">
        <v>0</v>
      </c>
      <c r="R64" s="411">
        <f t="shared" si="31"/>
        <v>0</v>
      </c>
      <c r="S64" s="431">
        <v>0</v>
      </c>
      <c r="T64" s="431">
        <v>0</v>
      </c>
      <c r="U64" s="409">
        <f t="shared" si="32"/>
        <v>0</v>
      </c>
      <c r="V64" s="431">
        <v>0</v>
      </c>
      <c r="W64" s="431">
        <v>0</v>
      </c>
      <c r="X64" s="409">
        <f t="shared" si="33"/>
        <v>0</v>
      </c>
      <c r="Y64" s="431">
        <v>0</v>
      </c>
      <c r="Z64" s="431">
        <v>0</v>
      </c>
      <c r="AA64" s="411">
        <f t="shared" si="34"/>
        <v>0</v>
      </c>
      <c r="AB64" s="446"/>
    </row>
    <row r="65" spans="1:28" s="449" customFormat="1" ht="15.75" thickBot="1" x14ac:dyDescent="0.3">
      <c r="A65" s="730"/>
      <c r="B65" s="733"/>
      <c r="C65" s="412" t="s">
        <v>34</v>
      </c>
      <c r="D65" s="413">
        <f t="shared" si="35"/>
        <v>0</v>
      </c>
      <c r="E65" s="414">
        <f t="shared" si="36"/>
        <v>0</v>
      </c>
      <c r="F65" s="415">
        <f t="shared" si="37"/>
        <v>0</v>
      </c>
      <c r="G65" s="439">
        <v>0</v>
      </c>
      <c r="H65" s="439">
        <v>0</v>
      </c>
      <c r="I65" s="417">
        <f t="shared" si="28"/>
        <v>0</v>
      </c>
      <c r="J65" s="439">
        <v>0</v>
      </c>
      <c r="K65" s="439">
        <v>0</v>
      </c>
      <c r="L65" s="417">
        <f t="shared" si="29"/>
        <v>0</v>
      </c>
      <c r="M65" s="439">
        <v>0</v>
      </c>
      <c r="N65" s="439">
        <v>0</v>
      </c>
      <c r="O65" s="417">
        <f t="shared" si="30"/>
        <v>0</v>
      </c>
      <c r="P65" s="439">
        <v>0</v>
      </c>
      <c r="Q65" s="439">
        <v>0</v>
      </c>
      <c r="R65" s="419">
        <f t="shared" si="31"/>
        <v>0</v>
      </c>
      <c r="S65" s="439">
        <v>0</v>
      </c>
      <c r="T65" s="439">
        <v>0</v>
      </c>
      <c r="U65" s="417">
        <f t="shared" si="32"/>
        <v>0</v>
      </c>
      <c r="V65" s="439">
        <v>0</v>
      </c>
      <c r="W65" s="439">
        <v>0</v>
      </c>
      <c r="X65" s="417">
        <f t="shared" si="33"/>
        <v>0</v>
      </c>
      <c r="Y65" s="439">
        <v>0</v>
      </c>
      <c r="Z65" s="439">
        <v>0</v>
      </c>
      <c r="AA65" s="419">
        <f t="shared" si="34"/>
        <v>0</v>
      </c>
      <c r="AB65" s="448"/>
    </row>
    <row r="66" spans="1:28" s="447" customFormat="1" ht="15.75" thickBot="1" x14ac:dyDescent="0.3">
      <c r="A66" s="450"/>
      <c r="B66" s="451"/>
      <c r="C66" s="452"/>
      <c r="D66" s="451"/>
      <c r="E66" s="451"/>
      <c r="F66" s="453" t="s">
        <v>107</v>
      </c>
      <c r="G66" s="454"/>
      <c r="H66" s="454"/>
      <c r="I66" s="455"/>
      <c r="J66" s="454"/>
      <c r="K66" s="454"/>
      <c r="L66" s="455"/>
      <c r="M66" s="454"/>
      <c r="N66" s="454"/>
      <c r="O66" s="455"/>
      <c r="P66" s="454"/>
      <c r="Q66" s="456"/>
      <c r="R66" s="457"/>
      <c r="S66" s="454"/>
      <c r="T66" s="454"/>
      <c r="U66" s="455"/>
      <c r="V66" s="454"/>
      <c r="W66" s="454"/>
      <c r="X66" s="455"/>
      <c r="Y66" s="454"/>
      <c r="Z66" s="456"/>
      <c r="AA66" s="457"/>
      <c r="AB66" s="446"/>
    </row>
    <row r="67" spans="1:28" s="447" customFormat="1" x14ac:dyDescent="0.25">
      <c r="A67" s="740" t="s">
        <v>324</v>
      </c>
      <c r="B67" s="742" t="s">
        <v>37</v>
      </c>
      <c r="C67" s="458" t="s">
        <v>25</v>
      </c>
      <c r="D67" s="459">
        <f>G67+J67+M67+P67</f>
        <v>35202</v>
      </c>
      <c r="E67" s="460">
        <f t="shared" ref="E67:F76" si="38">H67+K67+N67+Q67</f>
        <v>35202</v>
      </c>
      <c r="F67" s="461">
        <f t="shared" si="38"/>
        <v>0</v>
      </c>
      <c r="G67" s="462">
        <f t="shared" ref="G67:G76" si="39">G6</f>
        <v>1200</v>
      </c>
      <c r="H67" s="463">
        <f t="shared" ref="H67:H76" si="40">H6*(1+$AB$67)</f>
        <v>1200</v>
      </c>
      <c r="I67" s="464">
        <f>H67-G67</f>
        <v>0</v>
      </c>
      <c r="J67" s="463">
        <f t="shared" ref="J67:J76" si="41">J6</f>
        <v>9523</v>
      </c>
      <c r="K67" s="463">
        <f t="shared" ref="K67:K76" si="42">K6*(1+$AB$67)</f>
        <v>9523</v>
      </c>
      <c r="L67" s="464">
        <f t="shared" ref="L67:L76" si="43">K67-J67</f>
        <v>0</v>
      </c>
      <c r="M67" s="463">
        <f t="shared" ref="M67:M76" si="44">M6</f>
        <v>479</v>
      </c>
      <c r="N67" s="463">
        <f t="shared" ref="N67:N76" si="45">N6*(1+$AB$67)</f>
        <v>479</v>
      </c>
      <c r="O67" s="464">
        <f t="shared" ref="O67:O76" si="46">N67-M67</f>
        <v>0</v>
      </c>
      <c r="P67" s="463">
        <f t="shared" ref="P67:P76" si="47">P6</f>
        <v>24000</v>
      </c>
      <c r="Q67" s="465">
        <f t="shared" ref="Q67:Q76" si="48">Q6*(1+$AB$67)</f>
        <v>24000</v>
      </c>
      <c r="R67" s="466">
        <f t="shared" ref="R67:R76" si="49">Q67-P67</f>
        <v>0</v>
      </c>
      <c r="S67" s="463">
        <f t="shared" ref="S67:S76" si="50">S6</f>
        <v>2000</v>
      </c>
      <c r="T67" s="463">
        <f t="shared" ref="T67:T76" si="51">T6*(1+$AB$67)</f>
        <v>2000</v>
      </c>
      <c r="U67" s="464">
        <f t="shared" ref="U67:U76" si="52">T67-S67</f>
        <v>0</v>
      </c>
      <c r="V67" s="463">
        <f t="shared" ref="V67:V76" si="53">V6</f>
        <v>0</v>
      </c>
      <c r="W67" s="463">
        <f t="shared" ref="W67:W76" si="54">W6*(1+$AB$67)</f>
        <v>12000</v>
      </c>
      <c r="X67" s="464">
        <f t="shared" ref="X67:X76" si="55">W67-V67</f>
        <v>12000</v>
      </c>
      <c r="Y67" s="463">
        <f t="shared" ref="Y67:Y76" si="56">Y6</f>
        <v>0</v>
      </c>
      <c r="Z67" s="465">
        <f t="shared" ref="Z67:Z76" si="57">Z6*(1+$AB$67)</f>
        <v>42650</v>
      </c>
      <c r="AA67" s="466">
        <f t="shared" ref="AA67:AA76" si="58">Z67-Y67</f>
        <v>42650</v>
      </c>
      <c r="AB67" s="467">
        <f>'Analyza citlivosti - AgendovéIS'!K7</f>
        <v>0</v>
      </c>
    </row>
    <row r="68" spans="1:28" s="447" customFormat="1" x14ac:dyDescent="0.25">
      <c r="A68" s="740"/>
      <c r="B68" s="742"/>
      <c r="C68" s="458" t="s">
        <v>26</v>
      </c>
      <c r="D68" s="459">
        <f t="shared" ref="D68:D76" si="59">G68+J68+M68+P68</f>
        <v>35143</v>
      </c>
      <c r="E68" s="460">
        <f t="shared" si="38"/>
        <v>35720</v>
      </c>
      <c r="F68" s="461">
        <f t="shared" si="38"/>
        <v>577</v>
      </c>
      <c r="G68" s="468">
        <f t="shared" si="39"/>
        <v>1150</v>
      </c>
      <c r="H68" s="469">
        <f t="shared" si="40"/>
        <v>1150</v>
      </c>
      <c r="I68" s="409">
        <f t="shared" ref="I68:I76" si="60">H68-G68</f>
        <v>0</v>
      </c>
      <c r="J68" s="469">
        <f t="shared" si="41"/>
        <v>9523</v>
      </c>
      <c r="K68" s="469">
        <f t="shared" si="42"/>
        <v>10100</v>
      </c>
      <c r="L68" s="409">
        <f t="shared" si="43"/>
        <v>577</v>
      </c>
      <c r="M68" s="469">
        <f t="shared" si="44"/>
        <v>470</v>
      </c>
      <c r="N68" s="469">
        <f t="shared" si="45"/>
        <v>470</v>
      </c>
      <c r="O68" s="409">
        <f t="shared" si="46"/>
        <v>0</v>
      </c>
      <c r="P68" s="469">
        <f t="shared" si="47"/>
        <v>24000</v>
      </c>
      <c r="Q68" s="470">
        <f t="shared" si="48"/>
        <v>24000</v>
      </c>
      <c r="R68" s="411">
        <f t="shared" si="49"/>
        <v>0</v>
      </c>
      <c r="S68" s="469">
        <f t="shared" si="50"/>
        <v>2000</v>
      </c>
      <c r="T68" s="469">
        <f t="shared" si="51"/>
        <v>2000</v>
      </c>
      <c r="U68" s="409">
        <f t="shared" si="52"/>
        <v>0</v>
      </c>
      <c r="V68" s="469">
        <f t="shared" si="53"/>
        <v>0</v>
      </c>
      <c r="W68" s="469">
        <f t="shared" si="54"/>
        <v>12000</v>
      </c>
      <c r="X68" s="409">
        <f t="shared" si="55"/>
        <v>12000</v>
      </c>
      <c r="Y68" s="469">
        <f t="shared" si="56"/>
        <v>0</v>
      </c>
      <c r="Z68" s="470">
        <f t="shared" si="57"/>
        <v>43280</v>
      </c>
      <c r="AA68" s="411">
        <f t="shared" si="58"/>
        <v>43280</v>
      </c>
      <c r="AB68" s="446"/>
    </row>
    <row r="69" spans="1:28" s="447" customFormat="1" x14ac:dyDescent="0.25">
      <c r="A69" s="740"/>
      <c r="B69" s="742"/>
      <c r="C69" s="458" t="s">
        <v>27</v>
      </c>
      <c r="D69" s="459">
        <f t="shared" si="59"/>
        <v>35133</v>
      </c>
      <c r="E69" s="460">
        <f t="shared" si="38"/>
        <v>36510</v>
      </c>
      <c r="F69" s="461">
        <f t="shared" si="38"/>
        <v>1377</v>
      </c>
      <c r="G69" s="468">
        <f t="shared" si="39"/>
        <v>1150</v>
      </c>
      <c r="H69" s="469">
        <f t="shared" si="40"/>
        <v>1150</v>
      </c>
      <c r="I69" s="409">
        <f t="shared" si="60"/>
        <v>0</v>
      </c>
      <c r="J69" s="469">
        <f t="shared" si="41"/>
        <v>9523</v>
      </c>
      <c r="K69" s="469">
        <f t="shared" si="42"/>
        <v>10400</v>
      </c>
      <c r="L69" s="409">
        <f t="shared" si="43"/>
        <v>877</v>
      </c>
      <c r="M69" s="469">
        <f t="shared" si="44"/>
        <v>460</v>
      </c>
      <c r="N69" s="469">
        <f t="shared" si="45"/>
        <v>460</v>
      </c>
      <c r="O69" s="409">
        <f t="shared" si="46"/>
        <v>0</v>
      </c>
      <c r="P69" s="469">
        <f t="shared" si="47"/>
        <v>24000</v>
      </c>
      <c r="Q69" s="470">
        <f t="shared" si="48"/>
        <v>24500</v>
      </c>
      <c r="R69" s="411">
        <f t="shared" si="49"/>
        <v>500</v>
      </c>
      <c r="S69" s="469">
        <f t="shared" si="50"/>
        <v>2000</v>
      </c>
      <c r="T69" s="469">
        <f t="shared" si="51"/>
        <v>2140</v>
      </c>
      <c r="U69" s="409">
        <f t="shared" si="52"/>
        <v>140</v>
      </c>
      <c r="V69" s="469">
        <f t="shared" si="53"/>
        <v>0</v>
      </c>
      <c r="W69" s="469">
        <f t="shared" si="54"/>
        <v>12100</v>
      </c>
      <c r="X69" s="409">
        <f t="shared" si="55"/>
        <v>12100</v>
      </c>
      <c r="Y69" s="469">
        <f t="shared" si="56"/>
        <v>0</v>
      </c>
      <c r="Z69" s="470">
        <f t="shared" si="57"/>
        <v>43150</v>
      </c>
      <c r="AA69" s="411">
        <f t="shared" si="58"/>
        <v>43150</v>
      </c>
      <c r="AB69" s="446"/>
    </row>
    <row r="70" spans="1:28" s="447" customFormat="1" x14ac:dyDescent="0.25">
      <c r="A70" s="740"/>
      <c r="B70" s="742"/>
      <c r="C70" s="458" t="s">
        <v>28</v>
      </c>
      <c r="D70" s="459">
        <f t="shared" si="59"/>
        <v>35073</v>
      </c>
      <c r="E70" s="460">
        <f t="shared" si="38"/>
        <v>36850</v>
      </c>
      <c r="F70" s="461">
        <f t="shared" si="38"/>
        <v>1777</v>
      </c>
      <c r="G70" s="468">
        <f t="shared" si="39"/>
        <v>1100</v>
      </c>
      <c r="H70" s="469">
        <f t="shared" si="40"/>
        <v>1100</v>
      </c>
      <c r="I70" s="409">
        <f t="shared" si="60"/>
        <v>0</v>
      </c>
      <c r="J70" s="469">
        <f t="shared" si="41"/>
        <v>9523</v>
      </c>
      <c r="K70" s="469">
        <f t="shared" si="42"/>
        <v>10800</v>
      </c>
      <c r="L70" s="409">
        <f t="shared" si="43"/>
        <v>1277</v>
      </c>
      <c r="M70" s="469">
        <f t="shared" si="44"/>
        <v>450</v>
      </c>
      <c r="N70" s="469">
        <f t="shared" si="45"/>
        <v>450</v>
      </c>
      <c r="O70" s="409">
        <f t="shared" si="46"/>
        <v>0</v>
      </c>
      <c r="P70" s="469">
        <f t="shared" si="47"/>
        <v>24000</v>
      </c>
      <c r="Q70" s="470">
        <f t="shared" si="48"/>
        <v>24500</v>
      </c>
      <c r="R70" s="411">
        <f t="shared" si="49"/>
        <v>500</v>
      </c>
      <c r="S70" s="469">
        <f t="shared" si="50"/>
        <v>2000</v>
      </c>
      <c r="T70" s="469">
        <f t="shared" si="51"/>
        <v>2300</v>
      </c>
      <c r="U70" s="409">
        <f t="shared" si="52"/>
        <v>300</v>
      </c>
      <c r="V70" s="469">
        <f t="shared" si="53"/>
        <v>0</v>
      </c>
      <c r="W70" s="469">
        <f t="shared" si="54"/>
        <v>12200</v>
      </c>
      <c r="X70" s="409">
        <f t="shared" si="55"/>
        <v>12200</v>
      </c>
      <c r="Y70" s="469">
        <f t="shared" si="56"/>
        <v>0</v>
      </c>
      <c r="Z70" s="470">
        <f t="shared" si="57"/>
        <v>43480</v>
      </c>
      <c r="AA70" s="411">
        <f t="shared" si="58"/>
        <v>43480</v>
      </c>
      <c r="AB70" s="446"/>
    </row>
    <row r="71" spans="1:28" s="447" customFormat="1" x14ac:dyDescent="0.25">
      <c r="A71" s="740"/>
      <c r="B71" s="742"/>
      <c r="C71" s="458" t="s">
        <v>29</v>
      </c>
      <c r="D71" s="459">
        <f t="shared" si="59"/>
        <v>35073</v>
      </c>
      <c r="E71" s="460">
        <f t="shared" si="38"/>
        <v>37550</v>
      </c>
      <c r="F71" s="461">
        <f t="shared" si="38"/>
        <v>2477</v>
      </c>
      <c r="G71" s="468">
        <f t="shared" si="39"/>
        <v>1100</v>
      </c>
      <c r="H71" s="469">
        <f t="shared" si="40"/>
        <v>1100</v>
      </c>
      <c r="I71" s="409">
        <f t="shared" si="60"/>
        <v>0</v>
      </c>
      <c r="J71" s="469">
        <f t="shared" si="41"/>
        <v>9523</v>
      </c>
      <c r="K71" s="469">
        <f t="shared" si="42"/>
        <v>11000</v>
      </c>
      <c r="L71" s="409">
        <f t="shared" si="43"/>
        <v>1477</v>
      </c>
      <c r="M71" s="469">
        <f t="shared" si="44"/>
        <v>450</v>
      </c>
      <c r="N71" s="469">
        <f t="shared" si="45"/>
        <v>450</v>
      </c>
      <c r="O71" s="409">
        <f t="shared" si="46"/>
        <v>0</v>
      </c>
      <c r="P71" s="469">
        <f t="shared" si="47"/>
        <v>24000</v>
      </c>
      <c r="Q71" s="470">
        <f t="shared" si="48"/>
        <v>25000</v>
      </c>
      <c r="R71" s="411">
        <f t="shared" si="49"/>
        <v>1000</v>
      </c>
      <c r="S71" s="469">
        <f t="shared" si="50"/>
        <v>2000</v>
      </c>
      <c r="T71" s="469">
        <f t="shared" si="51"/>
        <v>2400</v>
      </c>
      <c r="U71" s="409">
        <f t="shared" si="52"/>
        <v>400</v>
      </c>
      <c r="V71" s="469">
        <f t="shared" si="53"/>
        <v>0</v>
      </c>
      <c r="W71" s="469">
        <f t="shared" si="54"/>
        <v>12400</v>
      </c>
      <c r="X71" s="409">
        <f t="shared" si="55"/>
        <v>12400</v>
      </c>
      <c r="Y71" s="469">
        <f t="shared" si="56"/>
        <v>0</v>
      </c>
      <c r="Z71" s="470">
        <f t="shared" si="57"/>
        <v>44500</v>
      </c>
      <c r="AA71" s="411">
        <f t="shared" si="58"/>
        <v>44500</v>
      </c>
      <c r="AB71" s="446"/>
    </row>
    <row r="72" spans="1:28" s="447" customFormat="1" x14ac:dyDescent="0.25">
      <c r="A72" s="740"/>
      <c r="B72" s="742"/>
      <c r="C72" s="458" t="s">
        <v>30</v>
      </c>
      <c r="D72" s="459">
        <f t="shared" si="59"/>
        <v>34973</v>
      </c>
      <c r="E72" s="460">
        <f t="shared" si="38"/>
        <v>37650</v>
      </c>
      <c r="F72" s="461">
        <f t="shared" si="38"/>
        <v>2677</v>
      </c>
      <c r="G72" s="468">
        <f t="shared" si="39"/>
        <v>1020</v>
      </c>
      <c r="H72" s="469">
        <f t="shared" si="40"/>
        <v>1020</v>
      </c>
      <c r="I72" s="409">
        <f t="shared" si="60"/>
        <v>0</v>
      </c>
      <c r="J72" s="469">
        <f t="shared" si="41"/>
        <v>9523</v>
      </c>
      <c r="K72" s="469">
        <f t="shared" si="42"/>
        <v>11200</v>
      </c>
      <c r="L72" s="409">
        <f t="shared" si="43"/>
        <v>1677</v>
      </c>
      <c r="M72" s="469">
        <f t="shared" si="44"/>
        <v>430</v>
      </c>
      <c r="N72" s="469">
        <f t="shared" si="45"/>
        <v>430</v>
      </c>
      <c r="O72" s="409">
        <f t="shared" si="46"/>
        <v>0</v>
      </c>
      <c r="P72" s="469">
        <f t="shared" si="47"/>
        <v>24000</v>
      </c>
      <c r="Q72" s="470">
        <f t="shared" si="48"/>
        <v>25000</v>
      </c>
      <c r="R72" s="411">
        <f t="shared" si="49"/>
        <v>1000</v>
      </c>
      <c r="S72" s="469">
        <f t="shared" si="50"/>
        <v>2000</v>
      </c>
      <c r="T72" s="469">
        <f t="shared" si="51"/>
        <v>2400</v>
      </c>
      <c r="U72" s="409">
        <f t="shared" si="52"/>
        <v>400</v>
      </c>
      <c r="V72" s="469">
        <f t="shared" si="53"/>
        <v>0</v>
      </c>
      <c r="W72" s="469">
        <f t="shared" si="54"/>
        <v>12300</v>
      </c>
      <c r="X72" s="409">
        <f t="shared" si="55"/>
        <v>12300</v>
      </c>
      <c r="Y72" s="469">
        <f t="shared" si="56"/>
        <v>0</v>
      </c>
      <c r="Z72" s="470">
        <f t="shared" si="57"/>
        <v>44500</v>
      </c>
      <c r="AA72" s="411">
        <f t="shared" si="58"/>
        <v>44500</v>
      </c>
      <c r="AB72" s="446"/>
    </row>
    <row r="73" spans="1:28" s="447" customFormat="1" x14ac:dyDescent="0.25">
      <c r="A73" s="740"/>
      <c r="B73" s="742"/>
      <c r="C73" s="458" t="s">
        <v>31</v>
      </c>
      <c r="D73" s="459">
        <f t="shared" si="59"/>
        <v>34903</v>
      </c>
      <c r="E73" s="460">
        <f t="shared" si="38"/>
        <v>38320</v>
      </c>
      <c r="F73" s="461">
        <f t="shared" si="38"/>
        <v>3417</v>
      </c>
      <c r="G73" s="468">
        <f t="shared" si="39"/>
        <v>950</v>
      </c>
      <c r="H73" s="469">
        <f t="shared" si="40"/>
        <v>950</v>
      </c>
      <c r="I73" s="409">
        <f t="shared" si="60"/>
        <v>0</v>
      </c>
      <c r="J73" s="469">
        <f t="shared" si="41"/>
        <v>9523</v>
      </c>
      <c r="K73" s="469">
        <f t="shared" si="42"/>
        <v>11440</v>
      </c>
      <c r="L73" s="409">
        <f t="shared" si="43"/>
        <v>1917</v>
      </c>
      <c r="M73" s="469">
        <f t="shared" si="44"/>
        <v>430</v>
      </c>
      <c r="N73" s="469">
        <f t="shared" si="45"/>
        <v>430</v>
      </c>
      <c r="O73" s="409">
        <f t="shared" si="46"/>
        <v>0</v>
      </c>
      <c r="P73" s="469">
        <f t="shared" si="47"/>
        <v>24000</v>
      </c>
      <c r="Q73" s="470">
        <f t="shared" si="48"/>
        <v>25500</v>
      </c>
      <c r="R73" s="411">
        <f t="shared" si="49"/>
        <v>1500</v>
      </c>
      <c r="S73" s="469">
        <f t="shared" si="50"/>
        <v>2000</v>
      </c>
      <c r="T73" s="469">
        <f t="shared" si="51"/>
        <v>2500</v>
      </c>
      <c r="U73" s="409">
        <f t="shared" si="52"/>
        <v>500</v>
      </c>
      <c r="V73" s="469">
        <f t="shared" si="53"/>
        <v>0</v>
      </c>
      <c r="W73" s="469">
        <f t="shared" si="54"/>
        <v>12100</v>
      </c>
      <c r="X73" s="409">
        <f t="shared" si="55"/>
        <v>12100</v>
      </c>
      <c r="Y73" s="469">
        <f t="shared" si="56"/>
        <v>0</v>
      </c>
      <c r="Z73" s="470">
        <f t="shared" si="57"/>
        <v>44600</v>
      </c>
      <c r="AA73" s="411">
        <f t="shared" si="58"/>
        <v>44600</v>
      </c>
      <c r="AB73" s="446"/>
    </row>
    <row r="74" spans="1:28" s="447" customFormat="1" x14ac:dyDescent="0.25">
      <c r="A74" s="740"/>
      <c r="B74" s="742"/>
      <c r="C74" s="458" t="s">
        <v>32</v>
      </c>
      <c r="D74" s="459">
        <f t="shared" si="59"/>
        <v>34843</v>
      </c>
      <c r="E74" s="460">
        <f t="shared" si="38"/>
        <v>38320</v>
      </c>
      <c r="F74" s="461">
        <f t="shared" si="38"/>
        <v>3477</v>
      </c>
      <c r="G74" s="468">
        <f t="shared" si="39"/>
        <v>900</v>
      </c>
      <c r="H74" s="469">
        <f t="shared" si="40"/>
        <v>900</v>
      </c>
      <c r="I74" s="409">
        <f t="shared" si="60"/>
        <v>0</v>
      </c>
      <c r="J74" s="469">
        <f t="shared" si="41"/>
        <v>9523</v>
      </c>
      <c r="K74" s="469">
        <f t="shared" si="42"/>
        <v>11500</v>
      </c>
      <c r="L74" s="409">
        <f t="shared" si="43"/>
        <v>1977</v>
      </c>
      <c r="M74" s="469">
        <f t="shared" si="44"/>
        <v>420</v>
      </c>
      <c r="N74" s="469">
        <f t="shared" si="45"/>
        <v>420</v>
      </c>
      <c r="O74" s="409">
        <f t="shared" si="46"/>
        <v>0</v>
      </c>
      <c r="P74" s="469">
        <f t="shared" si="47"/>
        <v>24000</v>
      </c>
      <c r="Q74" s="470">
        <f t="shared" si="48"/>
        <v>25500</v>
      </c>
      <c r="R74" s="411">
        <f t="shared" si="49"/>
        <v>1500</v>
      </c>
      <c r="S74" s="469">
        <f t="shared" si="50"/>
        <v>2000</v>
      </c>
      <c r="T74" s="469">
        <f t="shared" si="51"/>
        <v>2400</v>
      </c>
      <c r="U74" s="409">
        <f t="shared" si="52"/>
        <v>400</v>
      </c>
      <c r="V74" s="469">
        <f t="shared" si="53"/>
        <v>0</v>
      </c>
      <c r="W74" s="469">
        <f t="shared" si="54"/>
        <v>12000</v>
      </c>
      <c r="X74" s="409">
        <f t="shared" si="55"/>
        <v>12000</v>
      </c>
      <c r="Y74" s="469">
        <f t="shared" si="56"/>
        <v>0</v>
      </c>
      <c r="Z74" s="470">
        <f t="shared" si="57"/>
        <v>44800</v>
      </c>
      <c r="AA74" s="411">
        <f t="shared" si="58"/>
        <v>44800</v>
      </c>
      <c r="AB74" s="446"/>
    </row>
    <row r="75" spans="1:28" s="447" customFormat="1" x14ac:dyDescent="0.25">
      <c r="A75" s="740"/>
      <c r="B75" s="742"/>
      <c r="C75" s="458" t="s">
        <v>33</v>
      </c>
      <c r="D75" s="459">
        <f t="shared" si="59"/>
        <v>34843</v>
      </c>
      <c r="E75" s="460">
        <f t="shared" si="38"/>
        <v>38920</v>
      </c>
      <c r="F75" s="461">
        <f t="shared" si="38"/>
        <v>4077</v>
      </c>
      <c r="G75" s="468">
        <f t="shared" si="39"/>
        <v>900</v>
      </c>
      <c r="H75" s="469">
        <f t="shared" si="40"/>
        <v>900</v>
      </c>
      <c r="I75" s="409">
        <f t="shared" si="60"/>
        <v>0</v>
      </c>
      <c r="J75" s="469">
        <f t="shared" si="41"/>
        <v>9523</v>
      </c>
      <c r="K75" s="469">
        <f t="shared" si="42"/>
        <v>11600</v>
      </c>
      <c r="L75" s="409">
        <f t="shared" si="43"/>
        <v>2077</v>
      </c>
      <c r="M75" s="469">
        <f t="shared" si="44"/>
        <v>420</v>
      </c>
      <c r="N75" s="469">
        <f t="shared" si="45"/>
        <v>420</v>
      </c>
      <c r="O75" s="409">
        <f t="shared" si="46"/>
        <v>0</v>
      </c>
      <c r="P75" s="469">
        <f t="shared" si="47"/>
        <v>24000</v>
      </c>
      <c r="Q75" s="470">
        <f t="shared" si="48"/>
        <v>26000</v>
      </c>
      <c r="R75" s="411">
        <f t="shared" si="49"/>
        <v>2000</v>
      </c>
      <c r="S75" s="469">
        <f t="shared" si="50"/>
        <v>2000</v>
      </c>
      <c r="T75" s="469">
        <f t="shared" si="51"/>
        <v>2400</v>
      </c>
      <c r="U75" s="409">
        <f t="shared" si="52"/>
        <v>400</v>
      </c>
      <c r="V75" s="469">
        <f t="shared" si="53"/>
        <v>0</v>
      </c>
      <c r="W75" s="469">
        <f t="shared" si="54"/>
        <v>11900</v>
      </c>
      <c r="X75" s="409">
        <f t="shared" si="55"/>
        <v>11900</v>
      </c>
      <c r="Y75" s="469">
        <f t="shared" si="56"/>
        <v>0</v>
      </c>
      <c r="Z75" s="470">
        <f t="shared" si="57"/>
        <v>44980</v>
      </c>
      <c r="AA75" s="411">
        <f t="shared" si="58"/>
        <v>44980</v>
      </c>
      <c r="AB75" s="446"/>
    </row>
    <row r="76" spans="1:28" s="447" customFormat="1" ht="15.75" thickBot="1" x14ac:dyDescent="0.3">
      <c r="A76" s="741"/>
      <c r="B76" s="743"/>
      <c r="C76" s="471" t="s">
        <v>34</v>
      </c>
      <c r="D76" s="472">
        <f t="shared" si="59"/>
        <v>34843</v>
      </c>
      <c r="E76" s="473">
        <f t="shared" si="38"/>
        <v>39020</v>
      </c>
      <c r="F76" s="474">
        <f t="shared" si="38"/>
        <v>4177</v>
      </c>
      <c r="G76" s="475">
        <f t="shared" si="39"/>
        <v>900</v>
      </c>
      <c r="H76" s="476">
        <f t="shared" si="40"/>
        <v>900</v>
      </c>
      <c r="I76" s="417">
        <f t="shared" si="60"/>
        <v>0</v>
      </c>
      <c r="J76" s="476">
        <f t="shared" si="41"/>
        <v>9523</v>
      </c>
      <c r="K76" s="476">
        <f t="shared" si="42"/>
        <v>11700</v>
      </c>
      <c r="L76" s="417">
        <f t="shared" si="43"/>
        <v>2177</v>
      </c>
      <c r="M76" s="476">
        <f t="shared" si="44"/>
        <v>420</v>
      </c>
      <c r="N76" s="476">
        <f t="shared" si="45"/>
        <v>420</v>
      </c>
      <c r="O76" s="417">
        <f t="shared" si="46"/>
        <v>0</v>
      </c>
      <c r="P76" s="476">
        <f t="shared" si="47"/>
        <v>24000</v>
      </c>
      <c r="Q76" s="477">
        <f t="shared" si="48"/>
        <v>26000</v>
      </c>
      <c r="R76" s="419">
        <f t="shared" si="49"/>
        <v>2000</v>
      </c>
      <c r="S76" s="476">
        <f t="shared" si="50"/>
        <v>2000</v>
      </c>
      <c r="T76" s="476">
        <f t="shared" si="51"/>
        <v>2400</v>
      </c>
      <c r="U76" s="417">
        <f t="shared" si="52"/>
        <v>400</v>
      </c>
      <c r="V76" s="476">
        <f t="shared" si="53"/>
        <v>0</v>
      </c>
      <c r="W76" s="476">
        <f t="shared" si="54"/>
        <v>11800</v>
      </c>
      <c r="X76" s="417">
        <f t="shared" si="55"/>
        <v>11800</v>
      </c>
      <c r="Y76" s="476">
        <f t="shared" si="56"/>
        <v>0</v>
      </c>
      <c r="Z76" s="477">
        <f t="shared" si="57"/>
        <v>44980</v>
      </c>
      <c r="AA76" s="419">
        <f t="shared" si="58"/>
        <v>44980</v>
      </c>
      <c r="AB76" s="446"/>
    </row>
    <row r="77" spans="1:28" x14ac:dyDescent="0.25">
      <c r="A77" s="740" t="s">
        <v>195</v>
      </c>
      <c r="B77" s="742" t="s">
        <v>13</v>
      </c>
      <c r="C77" s="458" t="s">
        <v>25</v>
      </c>
      <c r="D77" s="459">
        <f>G77+J77+M77+P77</f>
        <v>100146.10236321839</v>
      </c>
      <c r="E77" s="460">
        <f>H77+K77+N77+Q77</f>
        <v>60087.661417931042</v>
      </c>
      <c r="F77" s="461">
        <f>I77+L77+O77+R77</f>
        <v>-40058.440945287359</v>
      </c>
      <c r="G77" s="478">
        <f>G6*G36*Faktory!$D$8</f>
        <v>3413.8777011494258</v>
      </c>
      <c r="H77" s="479">
        <f>((H67*G36)-(H67*((G36-H36)*(1+$AB$36))))*Faktory!$D$8</f>
        <v>2048.3266206896551</v>
      </c>
      <c r="I77" s="399">
        <f>H77-G77</f>
        <v>-1365.5510804597707</v>
      </c>
      <c r="J77" s="479">
        <f>J6*J36*Faktory!$D$8</f>
        <v>27091.964456704984</v>
      </c>
      <c r="K77" s="479">
        <f>((K67*J36)-(K67*((J36-K36)*(1+$AB$36))))*Faktory!$D$8</f>
        <v>16255.178674022987</v>
      </c>
      <c r="L77" s="399">
        <f>K77-J77</f>
        <v>-10836.785782681996</v>
      </c>
      <c r="M77" s="479">
        <f>M6*M36*Faktory!$D$8</f>
        <v>1362.7061823754791</v>
      </c>
      <c r="N77" s="479">
        <f>((N67*M36)-(N67*((M36-N36)*(1+$AB$36))))*Faktory!$D$8</f>
        <v>817.6237094252873</v>
      </c>
      <c r="O77" s="399">
        <f>N77-M77</f>
        <v>-545.0824729501918</v>
      </c>
      <c r="P77" s="479">
        <f>P6*P36*Faktory!$D$8</f>
        <v>68277.554022988508</v>
      </c>
      <c r="Q77" s="480">
        <f>((Q67*P36)-(Q67*((P36-Q36)*(1+$AB$36))))*Faktory!$D$8</f>
        <v>40966.532413793109</v>
      </c>
      <c r="R77" s="481">
        <f>Q77-P77</f>
        <v>-27311.021609195399</v>
      </c>
      <c r="S77" s="479">
        <f>S6*S36*Faktory!$D$8</f>
        <v>5689.7961685823757</v>
      </c>
      <c r="T77" s="479">
        <f>((T67*S36)-(T67*((S36-T36)*(1+$AB$36))))*Faktory!$D$8</f>
        <v>3413.8777011494258</v>
      </c>
      <c r="U77" s="399">
        <f>T77-S77</f>
        <v>-2275.9184674329499</v>
      </c>
      <c r="V77" s="479">
        <f>V6*V36*Faktory!$D$8</f>
        <v>0</v>
      </c>
      <c r="W77" s="479">
        <f>((W67*V36)-(W67*((V36-W36)*(1+$AB$36))))*Faktory!$D$8</f>
        <v>0</v>
      </c>
      <c r="X77" s="399">
        <f>W77-V77</f>
        <v>0</v>
      </c>
      <c r="Y77" s="479">
        <f>Y6*Y36*Faktory!$D$8</f>
        <v>0</v>
      </c>
      <c r="Z77" s="480">
        <f>((Z67*Y36)-(Z67*((Y36-Z36)*(1+$AB$36))))*Faktory!$D$8</f>
        <v>0</v>
      </c>
      <c r="AA77" s="481">
        <f>Z77-Y77</f>
        <v>0</v>
      </c>
    </row>
    <row r="78" spans="1:28" x14ac:dyDescent="0.25">
      <c r="A78" s="740"/>
      <c r="B78" s="742"/>
      <c r="C78" s="458" t="s">
        <v>26</v>
      </c>
      <c r="D78" s="459">
        <f t="shared" ref="D78:D96" si="61">G78+J78+M78+P78</f>
        <v>99978.253376245222</v>
      </c>
      <c r="E78" s="460">
        <f t="shared" ref="E78:E96" si="62">H78+K78+N78+Q78</f>
        <v>60971.855742528744</v>
      </c>
      <c r="F78" s="461">
        <f t="shared" ref="F78:F96" si="63">I78+L78+O78+R78</f>
        <v>-39006.397633716471</v>
      </c>
      <c r="G78" s="468">
        <f>G7*G37*Faktory!$D$8</f>
        <v>3271.6327969348663</v>
      </c>
      <c r="H78" s="469">
        <f>((H68*G37)-(H68*((G37-H37)*(1+$AB$36))))*Faktory!$D$8</f>
        <v>1962.9796781609198</v>
      </c>
      <c r="I78" s="409">
        <f t="shared" ref="I78:I96" si="64">H78-G78</f>
        <v>-1308.6531187739465</v>
      </c>
      <c r="J78" s="469">
        <f>J7*J37*Faktory!$D$8</f>
        <v>27091.964456704984</v>
      </c>
      <c r="K78" s="469">
        <f>((K68*J37)-(K68*((J37-K37)*(1+$AB$36))))*Faktory!$D$8</f>
        <v>17240.0823908046</v>
      </c>
      <c r="L78" s="409">
        <f t="shared" ref="L78:L96" si="65">K78-J78</f>
        <v>-9851.8820659003832</v>
      </c>
      <c r="M78" s="469">
        <f>M7*M37*Faktory!$D$8</f>
        <v>1337.1020996168584</v>
      </c>
      <c r="N78" s="469">
        <f>((N68*M37)-(N68*((M37-N37)*(1+$AB$36))))*Faktory!$D$8</f>
        <v>802.26125977011498</v>
      </c>
      <c r="O78" s="409">
        <f t="shared" ref="O78:O96" si="66">N78-M78</f>
        <v>-534.84083984674339</v>
      </c>
      <c r="P78" s="469">
        <f>P7*P37*Faktory!$D$8</f>
        <v>68277.554022988508</v>
      </c>
      <c r="Q78" s="470">
        <f>((Q68*P37)-(Q68*((P37-Q37)*(1+$AB$36))))*Faktory!$D$8</f>
        <v>40966.532413793109</v>
      </c>
      <c r="R78" s="411">
        <f t="shared" ref="R78:R96" si="67">Q78-P78</f>
        <v>-27311.021609195399</v>
      </c>
      <c r="S78" s="469">
        <f>S7*S37*Faktory!$D$8</f>
        <v>5689.7961685823757</v>
      </c>
      <c r="T78" s="469">
        <f>((T68*S37)-(T68*((S37-T37)*(1+$AB$36))))*Faktory!$D$8</f>
        <v>3413.8777011494258</v>
      </c>
      <c r="U78" s="409">
        <f t="shared" ref="U78:U96" si="68">T78-S78</f>
        <v>-2275.9184674329499</v>
      </c>
      <c r="V78" s="469">
        <f>V7*V37*Faktory!$D$8</f>
        <v>0</v>
      </c>
      <c r="W78" s="469">
        <f>((W68*V37)-(W68*((V37-W37)*(1+$AB$36))))*Faktory!$D$8</f>
        <v>0</v>
      </c>
      <c r="X78" s="409">
        <f t="shared" ref="X78:X96" si="69">W78-V78</f>
        <v>0</v>
      </c>
      <c r="Y78" s="469">
        <f>Y7*Y37*Faktory!$D$8</f>
        <v>0</v>
      </c>
      <c r="Z78" s="470">
        <f>((Z68*Y37)-(Z68*((Y37-Z37)*(1+$AB$36))))*Faktory!$D$8</f>
        <v>0</v>
      </c>
      <c r="AA78" s="411">
        <f t="shared" ref="AA78:AA96" si="70">Z78-Y78</f>
        <v>0</v>
      </c>
    </row>
    <row r="79" spans="1:28" x14ac:dyDescent="0.25">
      <c r="A79" s="740"/>
      <c r="B79" s="742"/>
      <c r="C79" s="458" t="s">
        <v>27</v>
      </c>
      <c r="D79" s="459">
        <f t="shared" si="61"/>
        <v>99949.804395402301</v>
      </c>
      <c r="E79" s="460">
        <f t="shared" si="62"/>
        <v>62320.337434482761</v>
      </c>
      <c r="F79" s="461">
        <f t="shared" si="63"/>
        <v>-37629.466960919541</v>
      </c>
      <c r="G79" s="468">
        <f>G8*G38*Faktory!$D$8</f>
        <v>3271.6327969348663</v>
      </c>
      <c r="H79" s="469">
        <f>((H69*G38)-(H69*((G38-H38)*(1+$AB$36))))*Faktory!$D$8</f>
        <v>1962.9796781609198</v>
      </c>
      <c r="I79" s="409">
        <f t="shared" si="64"/>
        <v>-1308.6531187739465</v>
      </c>
      <c r="J79" s="469">
        <f>J8*J38*Faktory!$D$8</f>
        <v>27091.964456704984</v>
      </c>
      <c r="K79" s="469">
        <f>((K69*J38)-(K69*((J38-K38)*(1+$AB$36))))*Faktory!$D$8</f>
        <v>17752.164045977013</v>
      </c>
      <c r="L79" s="409">
        <f t="shared" si="65"/>
        <v>-9339.8004107279703</v>
      </c>
      <c r="M79" s="469">
        <f>M8*M38*Faktory!$D$8</f>
        <v>1308.6531187739465</v>
      </c>
      <c r="N79" s="469">
        <f>((N69*M38)-(N69*((M38-N38)*(1+$AB$36))))*Faktory!$D$8</f>
        <v>785.19187126436782</v>
      </c>
      <c r="O79" s="409">
        <f t="shared" si="66"/>
        <v>-523.4612475095787</v>
      </c>
      <c r="P79" s="469">
        <f>P8*P38*Faktory!$D$8</f>
        <v>68277.554022988508</v>
      </c>
      <c r="Q79" s="470">
        <f>((Q69*P38)-(Q69*((P38-Q38)*(1+$AB$36))))*Faktory!$D$8</f>
        <v>41820.001839080462</v>
      </c>
      <c r="R79" s="411">
        <f t="shared" si="67"/>
        <v>-26457.552183908047</v>
      </c>
      <c r="S79" s="469">
        <f>S8*S38*Faktory!$D$8</f>
        <v>5689.7961685823757</v>
      </c>
      <c r="T79" s="469">
        <f>((T69*S38)-(T69*((S38-T38)*(1+$AB$36))))*Faktory!$D$8</f>
        <v>3652.8491402298855</v>
      </c>
      <c r="U79" s="409">
        <f t="shared" si="68"/>
        <v>-2036.9470283524902</v>
      </c>
      <c r="V79" s="469">
        <f>V8*V38*Faktory!$D$8</f>
        <v>0</v>
      </c>
      <c r="W79" s="469">
        <f>((W69*V38)-(W69*((V38-W38)*(1+$AB$36))))*Faktory!$D$8</f>
        <v>0</v>
      </c>
      <c r="X79" s="409">
        <f t="shared" si="69"/>
        <v>0</v>
      </c>
      <c r="Y79" s="469">
        <f>Y8*Y38*Faktory!$D$8</f>
        <v>0</v>
      </c>
      <c r="Z79" s="470">
        <f>((Z69*Y38)-(Z69*((Y38-Z38)*(1+$AB$36))))*Faktory!$D$8</f>
        <v>0</v>
      </c>
      <c r="AA79" s="411">
        <f t="shared" si="70"/>
        <v>0</v>
      </c>
    </row>
    <row r="80" spans="1:28" x14ac:dyDescent="0.25">
      <c r="A80" s="740"/>
      <c r="B80" s="742"/>
      <c r="C80" s="458" t="s">
        <v>28</v>
      </c>
      <c r="D80" s="459">
        <f t="shared" si="61"/>
        <v>99779.110510344835</v>
      </c>
      <c r="E80" s="460">
        <f t="shared" si="62"/>
        <v>62900.696643678166</v>
      </c>
      <c r="F80" s="461">
        <f t="shared" si="63"/>
        <v>-36878.413866666669</v>
      </c>
      <c r="G80" s="468">
        <f>G9*G39*Faktory!$D$8</f>
        <v>3129.3878927203068</v>
      </c>
      <c r="H80" s="469">
        <f>((H70*G39)-(H70*((G39-H39)*(1+$AB$36))))*Faktory!$D$8</f>
        <v>1877.632735632184</v>
      </c>
      <c r="I80" s="409">
        <f t="shared" si="64"/>
        <v>-1251.7551570881228</v>
      </c>
      <c r="J80" s="469">
        <f>J9*J39*Faktory!$D$8</f>
        <v>27091.964456704984</v>
      </c>
      <c r="K80" s="469">
        <f>((K70*J39)-(K70*((J39-K39)*(1+$AB$36))))*Faktory!$D$8</f>
        <v>18434.9395862069</v>
      </c>
      <c r="L80" s="409">
        <f t="shared" si="65"/>
        <v>-8657.0248704980841</v>
      </c>
      <c r="M80" s="469">
        <f>M9*M39*Faktory!$D$8</f>
        <v>1280.2041379310347</v>
      </c>
      <c r="N80" s="469">
        <f>((N70*M39)-(N70*((M39-N39)*(1+$AB$36))))*Faktory!$D$8</f>
        <v>768.12248275862078</v>
      </c>
      <c r="O80" s="409">
        <f t="shared" si="66"/>
        <v>-512.08165517241389</v>
      </c>
      <c r="P80" s="469">
        <f>P9*P39*Faktory!$D$8</f>
        <v>68277.554022988508</v>
      </c>
      <c r="Q80" s="470">
        <f>((Q70*P39)-(Q70*((P39-Q39)*(1+$AB$36))))*Faktory!$D$8</f>
        <v>41820.001839080462</v>
      </c>
      <c r="R80" s="411">
        <f t="shared" si="67"/>
        <v>-26457.552183908047</v>
      </c>
      <c r="S80" s="469">
        <f>S9*S39*Faktory!$D$8</f>
        <v>5689.7961685823757</v>
      </c>
      <c r="T80" s="469">
        <f>((T70*S39)-(T70*((S39-T39)*(1+$AB$36))))*Faktory!$D$8</f>
        <v>3925.9593563218396</v>
      </c>
      <c r="U80" s="409">
        <f t="shared" si="68"/>
        <v>-1763.8368122605361</v>
      </c>
      <c r="V80" s="469">
        <f>V9*V39*Faktory!$D$8</f>
        <v>0</v>
      </c>
      <c r="W80" s="469">
        <f>((W70*V39)-(W70*((V39-W39)*(1+$AB$36))))*Faktory!$D$8</f>
        <v>0</v>
      </c>
      <c r="X80" s="409">
        <f t="shared" si="69"/>
        <v>0</v>
      </c>
      <c r="Y80" s="469">
        <f>Y9*Y39*Faktory!$D$8</f>
        <v>0</v>
      </c>
      <c r="Z80" s="470">
        <f>((Z70*Y39)-(Z70*((Y39-Z39)*(1+$AB$36))))*Faktory!$D$8</f>
        <v>0</v>
      </c>
      <c r="AA80" s="411">
        <f t="shared" si="70"/>
        <v>0</v>
      </c>
    </row>
    <row r="81" spans="1:27" x14ac:dyDescent="0.25">
      <c r="A81" s="740"/>
      <c r="B81" s="742"/>
      <c r="C81" s="458" t="s">
        <v>29</v>
      </c>
      <c r="D81" s="459">
        <f t="shared" si="61"/>
        <v>99779.110510344835</v>
      </c>
      <c r="E81" s="460">
        <f t="shared" si="62"/>
        <v>64095.553839080465</v>
      </c>
      <c r="F81" s="461">
        <f t="shared" si="63"/>
        <v>-35683.55667126437</v>
      </c>
      <c r="G81" s="468">
        <f>G10*G40*Faktory!$D$8</f>
        <v>3129.3878927203068</v>
      </c>
      <c r="H81" s="469">
        <f>((H71*G40)-(H71*((G40-H40)*(1+$AB$36))))*Faktory!$D$8</f>
        <v>1877.632735632184</v>
      </c>
      <c r="I81" s="409">
        <f t="shared" si="64"/>
        <v>-1251.7551570881228</v>
      </c>
      <c r="J81" s="469">
        <f>J10*J40*Faktory!$D$8</f>
        <v>27091.964456704984</v>
      </c>
      <c r="K81" s="469">
        <f>((K71*J40)-(K71*((J40-K40)*(1+$AB$36))))*Faktory!$D$8</f>
        <v>18776.327356321839</v>
      </c>
      <c r="L81" s="409">
        <f t="shared" si="65"/>
        <v>-8315.6371003831446</v>
      </c>
      <c r="M81" s="469">
        <f>M10*M40*Faktory!$D$8</f>
        <v>1280.2041379310347</v>
      </c>
      <c r="N81" s="469">
        <f>((N71*M40)-(N71*((M40-N40)*(1+$AB$36))))*Faktory!$D$8</f>
        <v>768.12248275862078</v>
      </c>
      <c r="O81" s="409">
        <f t="shared" si="66"/>
        <v>-512.08165517241389</v>
      </c>
      <c r="P81" s="469">
        <f>P10*P40*Faktory!$D$8</f>
        <v>68277.554022988508</v>
      </c>
      <c r="Q81" s="470">
        <f>((Q71*P40)-(Q71*((P40-Q40)*(1+$AB$36))))*Faktory!$D$8</f>
        <v>42673.471264367821</v>
      </c>
      <c r="R81" s="411">
        <f t="shared" si="67"/>
        <v>-25604.082758620687</v>
      </c>
      <c r="S81" s="469">
        <f>S10*S40*Faktory!$D$8</f>
        <v>5689.7961685823757</v>
      </c>
      <c r="T81" s="469">
        <f>((T71*S40)-(T71*((S40-T40)*(1+$AB$36))))*Faktory!$D$8</f>
        <v>4096.6532413793102</v>
      </c>
      <c r="U81" s="409">
        <f t="shared" si="68"/>
        <v>-1593.1429272030655</v>
      </c>
      <c r="V81" s="469">
        <f>V10*V40*Faktory!$D$8</f>
        <v>0</v>
      </c>
      <c r="W81" s="469">
        <f>((W71*V40)-(W71*((V40-W40)*(1+$AB$36))))*Faktory!$D$8</f>
        <v>0</v>
      </c>
      <c r="X81" s="409">
        <f t="shared" si="69"/>
        <v>0</v>
      </c>
      <c r="Y81" s="469">
        <f>Y10*Y40*Faktory!$D$8</f>
        <v>0</v>
      </c>
      <c r="Z81" s="470">
        <f>((Z71*Y40)-(Z71*((Y40-Z40)*(1+$AB$36))))*Faktory!$D$8</f>
        <v>0</v>
      </c>
      <c r="AA81" s="411">
        <f t="shared" si="70"/>
        <v>0</v>
      </c>
    </row>
    <row r="82" spans="1:27" x14ac:dyDescent="0.25">
      <c r="A82" s="740"/>
      <c r="B82" s="742"/>
      <c r="C82" s="458" t="s">
        <v>30</v>
      </c>
      <c r="D82" s="459">
        <f t="shared" si="61"/>
        <v>99494.620701915715</v>
      </c>
      <c r="E82" s="460">
        <f t="shared" si="62"/>
        <v>64266.247724137938</v>
      </c>
      <c r="F82" s="461">
        <f t="shared" si="63"/>
        <v>-35228.372977777777</v>
      </c>
      <c r="G82" s="468">
        <f>G11*G41*Faktory!$D$8</f>
        <v>2901.7960459770115</v>
      </c>
      <c r="H82" s="469">
        <f>((H72*G41)-(H72*((G41-H41)*(1+$AB$36))))*Faktory!$D$8</f>
        <v>1741.077627586207</v>
      </c>
      <c r="I82" s="409">
        <f t="shared" si="64"/>
        <v>-1160.7184183908046</v>
      </c>
      <c r="J82" s="469">
        <f>J11*J41*Faktory!$D$8</f>
        <v>27091.964456704984</v>
      </c>
      <c r="K82" s="469">
        <f>((K72*J41)-(K72*((J41-K41)*(1+$AB$36))))*Faktory!$D$8</f>
        <v>19117.715126436782</v>
      </c>
      <c r="L82" s="409">
        <f t="shared" si="65"/>
        <v>-7974.2493302682014</v>
      </c>
      <c r="M82" s="469">
        <f>M11*M41*Faktory!$D$8</f>
        <v>1223.3061762452107</v>
      </c>
      <c r="N82" s="469">
        <f>((N72*M41)-(N72*((M41-N41)*(1+$AB$36))))*Faktory!$D$8</f>
        <v>733.98370574712646</v>
      </c>
      <c r="O82" s="409">
        <f t="shared" si="66"/>
        <v>-489.32247049808427</v>
      </c>
      <c r="P82" s="469">
        <f>P11*P41*Faktory!$D$8</f>
        <v>68277.554022988508</v>
      </c>
      <c r="Q82" s="470">
        <f>((Q72*P41)-(Q72*((P41-Q41)*(1+$AB$36))))*Faktory!$D$8</f>
        <v>42673.471264367821</v>
      </c>
      <c r="R82" s="411">
        <f t="shared" si="67"/>
        <v>-25604.082758620687</v>
      </c>
      <c r="S82" s="469">
        <f>S11*S41*Faktory!$D$8</f>
        <v>5689.7961685823757</v>
      </c>
      <c r="T82" s="469">
        <f>((T72*S41)-(T72*((S41-T41)*(1+$AB$36))))*Faktory!$D$8</f>
        <v>4096.6532413793102</v>
      </c>
      <c r="U82" s="409">
        <f t="shared" si="68"/>
        <v>-1593.1429272030655</v>
      </c>
      <c r="V82" s="469">
        <f>V11*V41*Faktory!$D$8</f>
        <v>0</v>
      </c>
      <c r="W82" s="469">
        <f>((W72*V41)-(W72*((V41-W41)*(1+$AB$36))))*Faktory!$D$8</f>
        <v>0</v>
      </c>
      <c r="X82" s="409">
        <f t="shared" si="69"/>
        <v>0</v>
      </c>
      <c r="Y82" s="469">
        <f>Y11*Y41*Faktory!$D$8</f>
        <v>0</v>
      </c>
      <c r="Z82" s="470">
        <f>((Z72*Y41)-(Z72*((Y41-Z41)*(1+$AB$36))))*Faktory!$D$8</f>
        <v>0</v>
      </c>
      <c r="AA82" s="411">
        <f t="shared" si="70"/>
        <v>0</v>
      </c>
    </row>
    <row r="83" spans="1:27" x14ac:dyDescent="0.25">
      <c r="A83" s="740"/>
      <c r="B83" s="742"/>
      <c r="C83" s="458" t="s">
        <v>31</v>
      </c>
      <c r="D83" s="459">
        <f t="shared" si="61"/>
        <v>99295.477836015329</v>
      </c>
      <c r="E83" s="460">
        <f t="shared" si="62"/>
        <v>65409.896754022993</v>
      </c>
      <c r="F83" s="461">
        <f t="shared" si="63"/>
        <v>-33885.581081992335</v>
      </c>
      <c r="G83" s="468">
        <f>G12*G42*Faktory!$D$8</f>
        <v>2702.6531800766284</v>
      </c>
      <c r="H83" s="469">
        <f>((H73*G42)-(H73*((G42-H42)*(1+$AB$36))))*Faktory!$D$8</f>
        <v>1621.5919080459771</v>
      </c>
      <c r="I83" s="409">
        <f t="shared" si="64"/>
        <v>-1081.0612720306513</v>
      </c>
      <c r="J83" s="469">
        <f>J12*J42*Faktory!$D$8</f>
        <v>27091.964456704984</v>
      </c>
      <c r="K83" s="469">
        <f>((K73*J42)-(K73*((J42-K42)*(1+$AB$36))))*Faktory!$D$8</f>
        <v>19527.380450574714</v>
      </c>
      <c r="L83" s="409">
        <f t="shared" si="65"/>
        <v>-7564.5840061302697</v>
      </c>
      <c r="M83" s="469">
        <f>M12*M42*Faktory!$D$8</f>
        <v>1223.3061762452107</v>
      </c>
      <c r="N83" s="469">
        <f>((N73*M42)-(N73*((M42-N42)*(1+$AB$36))))*Faktory!$D$8</f>
        <v>733.98370574712646</v>
      </c>
      <c r="O83" s="409">
        <f t="shared" si="66"/>
        <v>-489.32247049808427</v>
      </c>
      <c r="P83" s="469">
        <f>P12*P42*Faktory!$D$8</f>
        <v>68277.554022988508</v>
      </c>
      <c r="Q83" s="470">
        <f>((Q73*P42)-(Q73*((P42-Q42)*(1+$AB$36))))*Faktory!$D$8</f>
        <v>43526.940689655174</v>
      </c>
      <c r="R83" s="411">
        <f t="shared" si="67"/>
        <v>-24750.613333333335</v>
      </c>
      <c r="S83" s="469">
        <f>S12*S42*Faktory!$D$8</f>
        <v>5689.7961685823757</v>
      </c>
      <c r="T83" s="469">
        <f>((T73*S42)-(T73*((S42-T42)*(1+$AB$36))))*Faktory!$D$8</f>
        <v>4267.3471264367818</v>
      </c>
      <c r="U83" s="409">
        <f t="shared" si="68"/>
        <v>-1422.4490421455939</v>
      </c>
      <c r="V83" s="469">
        <f>V12*V42*Faktory!$D$8</f>
        <v>0</v>
      </c>
      <c r="W83" s="469">
        <f>((W73*V42)-(W73*((V42-W42)*(1+$AB$36))))*Faktory!$D$8</f>
        <v>0</v>
      </c>
      <c r="X83" s="409">
        <f t="shared" si="69"/>
        <v>0</v>
      </c>
      <c r="Y83" s="469">
        <f>Y12*Y42*Faktory!$D$8</f>
        <v>0</v>
      </c>
      <c r="Z83" s="470">
        <f>((Z73*Y42)-(Z73*((Y42-Z42)*(1+$AB$36))))*Faktory!$D$8</f>
        <v>0</v>
      </c>
      <c r="AA83" s="411">
        <f t="shared" si="70"/>
        <v>0</v>
      </c>
    </row>
    <row r="84" spans="1:27" x14ac:dyDescent="0.25">
      <c r="A84" s="740"/>
      <c r="B84" s="742"/>
      <c r="C84" s="458" t="s">
        <v>32</v>
      </c>
      <c r="D84" s="459">
        <f t="shared" si="61"/>
        <v>99124.783950957863</v>
      </c>
      <c r="E84" s="460">
        <f t="shared" si="62"/>
        <v>65409.896754022993</v>
      </c>
      <c r="F84" s="461">
        <f t="shared" si="63"/>
        <v>-33714.887196934869</v>
      </c>
      <c r="G84" s="468">
        <f>G13*G43*Faktory!$D$8</f>
        <v>2560.4082758620693</v>
      </c>
      <c r="H84" s="469">
        <f>((H74*G43)-(H74*((G43-H43)*(1+$AB$36))))*Faktory!$D$8</f>
        <v>1536.2449655172416</v>
      </c>
      <c r="I84" s="409">
        <f t="shared" si="64"/>
        <v>-1024.1633103448278</v>
      </c>
      <c r="J84" s="469">
        <f>J13*J43*Faktory!$D$8</f>
        <v>27091.964456704984</v>
      </c>
      <c r="K84" s="469">
        <f>((K74*J43)-(K74*((J43-K43)*(1+$AB$36))))*Faktory!$D$8</f>
        <v>19629.796781609199</v>
      </c>
      <c r="L84" s="409">
        <f t="shared" si="65"/>
        <v>-7462.1676750957849</v>
      </c>
      <c r="M84" s="469">
        <f>M13*M43*Faktory!$D$8</f>
        <v>1194.8571954022989</v>
      </c>
      <c r="N84" s="469">
        <f>((N74*M43)-(N74*((M43-N43)*(1+$AB$36))))*Faktory!$D$8</f>
        <v>716.91431724137942</v>
      </c>
      <c r="O84" s="409">
        <f t="shared" si="66"/>
        <v>-477.94287816091946</v>
      </c>
      <c r="P84" s="469">
        <f>P13*P43*Faktory!$D$8</f>
        <v>68277.554022988508</v>
      </c>
      <c r="Q84" s="470">
        <f>((Q74*P43)-(Q74*((P43-Q43)*(1+$AB$36))))*Faktory!$D$8</f>
        <v>43526.940689655174</v>
      </c>
      <c r="R84" s="411">
        <f t="shared" si="67"/>
        <v>-24750.613333333335</v>
      </c>
      <c r="S84" s="469">
        <f>S13*S43*Faktory!$D$8</f>
        <v>5689.7961685823757</v>
      </c>
      <c r="T84" s="469">
        <f>((T74*S43)-(T74*((S43-T43)*(1+$AB$36))))*Faktory!$D$8</f>
        <v>4096.6532413793102</v>
      </c>
      <c r="U84" s="409">
        <f t="shared" si="68"/>
        <v>-1593.1429272030655</v>
      </c>
      <c r="V84" s="469">
        <f>V13*V43*Faktory!$D$8</f>
        <v>0</v>
      </c>
      <c r="W84" s="469">
        <f>((W74*V43)-(W74*((V43-W43)*(1+$AB$36))))*Faktory!$D$8</f>
        <v>0</v>
      </c>
      <c r="X84" s="409">
        <f t="shared" si="69"/>
        <v>0</v>
      </c>
      <c r="Y84" s="469">
        <f>Y13*Y43*Faktory!$D$8</f>
        <v>0</v>
      </c>
      <c r="Z84" s="470">
        <f>((Z74*Y43)-(Z74*((Y43-Z43)*(1+$AB$36))))*Faktory!$D$8</f>
        <v>0</v>
      </c>
      <c r="AA84" s="411">
        <f t="shared" si="70"/>
        <v>0</v>
      </c>
    </row>
    <row r="85" spans="1:27" x14ac:dyDescent="0.25">
      <c r="A85" s="740"/>
      <c r="B85" s="742"/>
      <c r="C85" s="458" t="s">
        <v>33</v>
      </c>
      <c r="D85" s="459">
        <f t="shared" si="61"/>
        <v>99124.783950957863</v>
      </c>
      <c r="E85" s="460">
        <f t="shared" si="62"/>
        <v>66434.060064367819</v>
      </c>
      <c r="F85" s="461">
        <f t="shared" si="63"/>
        <v>-32690.723886590036</v>
      </c>
      <c r="G85" s="468">
        <f>G14*G44*Faktory!$D$8</f>
        <v>2560.4082758620693</v>
      </c>
      <c r="H85" s="469">
        <f>((H75*G44)-(H75*((G44-H44)*(1+$AB$36))))*Faktory!$D$8</f>
        <v>1536.2449655172416</v>
      </c>
      <c r="I85" s="409">
        <f t="shared" si="64"/>
        <v>-1024.1633103448278</v>
      </c>
      <c r="J85" s="469">
        <f>J14*J44*Faktory!$D$8</f>
        <v>27091.964456704984</v>
      </c>
      <c r="K85" s="469">
        <f>((K75*J44)-(K75*((J44-K44)*(1+$AB$36))))*Faktory!$D$8</f>
        <v>19800.490666666668</v>
      </c>
      <c r="L85" s="409">
        <f t="shared" si="65"/>
        <v>-7291.4737900383152</v>
      </c>
      <c r="M85" s="469">
        <f>M14*M44*Faktory!$D$8</f>
        <v>1194.8571954022989</v>
      </c>
      <c r="N85" s="469">
        <f>((N75*M44)-(N75*((M44-N44)*(1+$AB$36))))*Faktory!$D$8</f>
        <v>716.91431724137942</v>
      </c>
      <c r="O85" s="409">
        <f t="shared" si="66"/>
        <v>-477.94287816091946</v>
      </c>
      <c r="P85" s="469">
        <f>P14*P44*Faktory!$D$8</f>
        <v>68277.554022988508</v>
      </c>
      <c r="Q85" s="470">
        <f>((Q75*P44)-(Q75*((P44-Q44)*(1+$AB$36))))*Faktory!$D$8</f>
        <v>44380.410114942533</v>
      </c>
      <c r="R85" s="411">
        <f t="shared" si="67"/>
        <v>-23897.143908045975</v>
      </c>
      <c r="S85" s="469">
        <f>S14*S44*Faktory!$D$8</f>
        <v>5689.7961685823757</v>
      </c>
      <c r="T85" s="469">
        <f>((T75*S44)-(T75*((S44-T44)*(1+$AB$36))))*Faktory!$D$8</f>
        <v>4096.6532413793102</v>
      </c>
      <c r="U85" s="409">
        <f t="shared" si="68"/>
        <v>-1593.1429272030655</v>
      </c>
      <c r="V85" s="469">
        <f>V14*V44*Faktory!$D$8</f>
        <v>0</v>
      </c>
      <c r="W85" s="469">
        <f>((W75*V44)-(W75*((V44-W44)*(1+$AB$36))))*Faktory!$D$8</f>
        <v>0</v>
      </c>
      <c r="X85" s="409">
        <f t="shared" si="69"/>
        <v>0</v>
      </c>
      <c r="Y85" s="469">
        <f>Y14*Y44*Faktory!$D$8</f>
        <v>0</v>
      </c>
      <c r="Z85" s="470">
        <f>((Z75*Y44)-(Z75*((Y44-Z44)*(1+$AB$36))))*Faktory!$D$8</f>
        <v>0</v>
      </c>
      <c r="AA85" s="411">
        <f t="shared" si="70"/>
        <v>0</v>
      </c>
    </row>
    <row r="86" spans="1:27" ht="15.75" thickBot="1" x14ac:dyDescent="0.3">
      <c r="A86" s="741"/>
      <c r="B86" s="743"/>
      <c r="C86" s="471" t="s">
        <v>34</v>
      </c>
      <c r="D86" s="472">
        <f t="shared" si="61"/>
        <v>99124.783950957863</v>
      </c>
      <c r="E86" s="473">
        <f t="shared" si="62"/>
        <v>66604.7539494253</v>
      </c>
      <c r="F86" s="474">
        <f t="shared" si="63"/>
        <v>-32520.030001532567</v>
      </c>
      <c r="G86" s="475">
        <f>G15*G45*Faktory!$D$8</f>
        <v>2560.4082758620693</v>
      </c>
      <c r="H86" s="476">
        <f>((H76*G45)-(H76*((G45-H45)*(1+$AB$36))))*Faktory!$D$8</f>
        <v>1536.2449655172416</v>
      </c>
      <c r="I86" s="417">
        <f t="shared" si="64"/>
        <v>-1024.1633103448278</v>
      </c>
      <c r="J86" s="476">
        <f>J15*J45*Faktory!$D$8</f>
        <v>27091.964456704984</v>
      </c>
      <c r="K86" s="476">
        <f>((K76*J45)-(K76*((J45-K45)*(1+$AB$36))))*Faktory!$D$8</f>
        <v>19971.184551724138</v>
      </c>
      <c r="L86" s="417">
        <f t="shared" si="65"/>
        <v>-7120.7799049808455</v>
      </c>
      <c r="M86" s="476">
        <f>M15*M45*Faktory!$D$8</f>
        <v>1194.8571954022989</v>
      </c>
      <c r="N86" s="476">
        <f>((N76*M45)-(N76*((M45-N45)*(1+$AB$36))))*Faktory!$D$8</f>
        <v>716.91431724137942</v>
      </c>
      <c r="O86" s="417">
        <f t="shared" si="66"/>
        <v>-477.94287816091946</v>
      </c>
      <c r="P86" s="476">
        <f>P15*P45*Faktory!$D$8</f>
        <v>68277.554022988508</v>
      </c>
      <c r="Q86" s="477">
        <f>((Q76*P45)-(Q76*((P45-Q45)*(1+$AB$36))))*Faktory!$D$8</f>
        <v>44380.410114942533</v>
      </c>
      <c r="R86" s="419">
        <f t="shared" si="67"/>
        <v>-23897.143908045975</v>
      </c>
      <c r="S86" s="476">
        <f>S15*S45*Faktory!$D$8</f>
        <v>5689.7961685823757</v>
      </c>
      <c r="T86" s="476">
        <f>((T76*S45)-(T76*((S45-T45)*(1+$AB$36))))*Faktory!$D$8</f>
        <v>4096.6532413793102</v>
      </c>
      <c r="U86" s="417">
        <f t="shared" si="68"/>
        <v>-1593.1429272030655</v>
      </c>
      <c r="V86" s="476">
        <f>V15*V45*Faktory!$D$8</f>
        <v>0</v>
      </c>
      <c r="W86" s="476">
        <f>((W76*V45)-(W76*((V45-W45)*(1+$AB$36))))*Faktory!$D$8</f>
        <v>0</v>
      </c>
      <c r="X86" s="417">
        <f t="shared" si="69"/>
        <v>0</v>
      </c>
      <c r="Y86" s="476">
        <f>Y15*Y45*Faktory!$D$8</f>
        <v>0</v>
      </c>
      <c r="Z86" s="477">
        <f>((Z76*Y45)-(Z76*((Y45-Z45)*(1+$AB$36))))*Faktory!$D$8</f>
        <v>0</v>
      </c>
      <c r="AA86" s="419">
        <f t="shared" si="70"/>
        <v>0</v>
      </c>
    </row>
    <row r="87" spans="1:27" x14ac:dyDescent="0.25">
      <c r="A87" s="740" t="s">
        <v>190</v>
      </c>
      <c r="B87" s="742" t="s">
        <v>191</v>
      </c>
      <c r="C87" s="458" t="s">
        <v>25</v>
      </c>
      <c r="D87" s="483">
        <f t="shared" si="61"/>
        <v>4.6563492063492067</v>
      </c>
      <c r="E87" s="484">
        <f t="shared" si="62"/>
        <v>2.7938095238095242</v>
      </c>
      <c r="F87" s="485">
        <f t="shared" si="63"/>
        <v>-1.8625396825396829</v>
      </c>
      <c r="G87" s="486">
        <f t="shared" ref="G87:H96" si="71">(G6*G36)/12/21/7.5</f>
        <v>0.15873015873015872</v>
      </c>
      <c r="H87" s="487">
        <f t="shared" si="71"/>
        <v>9.5238095238095247E-2</v>
      </c>
      <c r="I87" s="488">
        <f t="shared" si="64"/>
        <v>-6.3492063492063475E-2</v>
      </c>
      <c r="J87" s="487">
        <f t="shared" ref="J87:K96" si="72">(J6*J36)/12/21/7.5</f>
        <v>1.2596560846560849</v>
      </c>
      <c r="K87" s="487">
        <f t="shared" si="72"/>
        <v>0.7557936507936508</v>
      </c>
      <c r="L87" s="488">
        <f t="shared" si="65"/>
        <v>-0.50386243386243412</v>
      </c>
      <c r="M87" s="487">
        <f t="shared" ref="M87:N96" si="73">(M6*M36)/12/21/7.5</f>
        <v>6.3359788359788352E-2</v>
      </c>
      <c r="N87" s="487">
        <f t="shared" si="73"/>
        <v>3.8015873015873017E-2</v>
      </c>
      <c r="O87" s="488">
        <f t="shared" si="66"/>
        <v>-2.5343915343915335E-2</v>
      </c>
      <c r="P87" s="487">
        <f t="shared" ref="P87:Q96" si="74">(P6*P36)/12/21/7.5</f>
        <v>3.1746031746031749</v>
      </c>
      <c r="Q87" s="489">
        <f t="shared" si="74"/>
        <v>1.9047619047619049</v>
      </c>
      <c r="R87" s="490">
        <f t="shared" si="67"/>
        <v>-1.26984126984127</v>
      </c>
      <c r="S87" s="487">
        <f t="shared" ref="S87:T87" si="75">(S6*S36)/12/21/7.5</f>
        <v>0.26455026455026454</v>
      </c>
      <c r="T87" s="487">
        <f t="shared" si="75"/>
        <v>0.15873015873015872</v>
      </c>
      <c r="U87" s="488">
        <f t="shared" si="68"/>
        <v>-0.10582010582010581</v>
      </c>
      <c r="V87" s="487">
        <f t="shared" ref="V87:W87" si="76">(V6*V36)/12/21/7.5</f>
        <v>0</v>
      </c>
      <c r="W87" s="487">
        <f t="shared" si="76"/>
        <v>0</v>
      </c>
      <c r="X87" s="488">
        <f t="shared" si="69"/>
        <v>0</v>
      </c>
      <c r="Y87" s="487">
        <f t="shared" ref="Y87:Z87" si="77">(Y6*Y36)/12/21/7.5</f>
        <v>0</v>
      </c>
      <c r="Z87" s="489">
        <f t="shared" si="77"/>
        <v>0</v>
      </c>
      <c r="AA87" s="490">
        <f t="shared" si="70"/>
        <v>0</v>
      </c>
    </row>
    <row r="88" spans="1:27" x14ac:dyDescent="0.25">
      <c r="A88" s="740"/>
      <c r="B88" s="742"/>
      <c r="C88" s="458" t="s">
        <v>26</v>
      </c>
      <c r="D88" s="483">
        <f t="shared" si="61"/>
        <v>4.6485449735449738</v>
      </c>
      <c r="E88" s="484">
        <f t="shared" si="62"/>
        <v>2.8349206349206351</v>
      </c>
      <c r="F88" s="485">
        <f t="shared" si="63"/>
        <v>-1.8136243386243389</v>
      </c>
      <c r="G88" s="491">
        <f t="shared" si="71"/>
        <v>0.15211640211640212</v>
      </c>
      <c r="H88" s="492">
        <f t="shared" si="71"/>
        <v>9.1269841269841265E-2</v>
      </c>
      <c r="I88" s="493">
        <f t="shared" si="64"/>
        <v>-6.0846560846560857E-2</v>
      </c>
      <c r="J88" s="492">
        <f t="shared" si="72"/>
        <v>1.2596560846560849</v>
      </c>
      <c r="K88" s="492">
        <f t="shared" si="72"/>
        <v>0.80158730158730163</v>
      </c>
      <c r="L88" s="493">
        <f t="shared" si="65"/>
        <v>-0.45806878306878329</v>
      </c>
      <c r="M88" s="492">
        <f t="shared" si="73"/>
        <v>6.2169312169312166E-2</v>
      </c>
      <c r="N88" s="492">
        <f t="shared" si="73"/>
        <v>3.7301587301587301E-2</v>
      </c>
      <c r="O88" s="493">
        <f t="shared" si="66"/>
        <v>-2.4867724867724865E-2</v>
      </c>
      <c r="P88" s="492">
        <f t="shared" si="74"/>
        <v>3.1746031746031749</v>
      </c>
      <c r="Q88" s="494">
        <f t="shared" si="74"/>
        <v>1.9047619047619049</v>
      </c>
      <c r="R88" s="495">
        <f t="shared" si="67"/>
        <v>-1.26984126984127</v>
      </c>
      <c r="S88" s="492">
        <f t="shared" ref="S88:T88" si="78">(S7*S37)/12/21/7.5</f>
        <v>0.26455026455026454</v>
      </c>
      <c r="T88" s="492">
        <f t="shared" si="78"/>
        <v>0.15873015873015872</v>
      </c>
      <c r="U88" s="493">
        <f t="shared" si="68"/>
        <v>-0.10582010582010581</v>
      </c>
      <c r="V88" s="492">
        <f t="shared" ref="V88:W88" si="79">(V7*V37)/12/21/7.5</f>
        <v>0</v>
      </c>
      <c r="W88" s="492">
        <f t="shared" si="79"/>
        <v>0</v>
      </c>
      <c r="X88" s="493">
        <f t="shared" si="69"/>
        <v>0</v>
      </c>
      <c r="Y88" s="492">
        <f t="shared" ref="Y88:Z88" si="80">(Y7*Y37)/12/21/7.5</f>
        <v>0</v>
      </c>
      <c r="Z88" s="494">
        <f t="shared" si="80"/>
        <v>0</v>
      </c>
      <c r="AA88" s="495">
        <f t="shared" si="70"/>
        <v>0</v>
      </c>
    </row>
    <row r="89" spans="1:27" x14ac:dyDescent="0.25">
      <c r="A89" s="740"/>
      <c r="B89" s="742"/>
      <c r="C89" s="458" t="s">
        <v>27</v>
      </c>
      <c r="D89" s="483">
        <f t="shared" si="61"/>
        <v>4.647222222222223</v>
      </c>
      <c r="E89" s="484">
        <f t="shared" si="62"/>
        <v>2.8976190476190475</v>
      </c>
      <c r="F89" s="485">
        <f t="shared" si="63"/>
        <v>-1.749603174603175</v>
      </c>
      <c r="G89" s="491">
        <f t="shared" si="71"/>
        <v>0.15211640211640212</v>
      </c>
      <c r="H89" s="492">
        <f t="shared" si="71"/>
        <v>9.1269841269841265E-2</v>
      </c>
      <c r="I89" s="493">
        <f t="shared" si="64"/>
        <v>-6.0846560846560857E-2</v>
      </c>
      <c r="J89" s="492">
        <f t="shared" si="72"/>
        <v>1.2596560846560849</v>
      </c>
      <c r="K89" s="492">
        <f t="shared" si="72"/>
        <v>0.82539682539682546</v>
      </c>
      <c r="L89" s="493">
        <f t="shared" si="65"/>
        <v>-0.43425925925925946</v>
      </c>
      <c r="M89" s="492">
        <f t="shared" si="73"/>
        <v>6.084656084656085E-2</v>
      </c>
      <c r="N89" s="492">
        <f t="shared" si="73"/>
        <v>3.650793650793651E-2</v>
      </c>
      <c r="O89" s="493">
        <f t="shared" si="66"/>
        <v>-2.433862433862434E-2</v>
      </c>
      <c r="P89" s="492">
        <f t="shared" si="74"/>
        <v>3.1746031746031749</v>
      </c>
      <c r="Q89" s="494">
        <f t="shared" si="74"/>
        <v>1.9444444444444444</v>
      </c>
      <c r="R89" s="495">
        <f t="shared" si="67"/>
        <v>-1.2301587301587305</v>
      </c>
      <c r="S89" s="492">
        <f t="shared" ref="S89:T89" si="81">(S8*S38)/12/21/7.5</f>
        <v>0.26455026455026454</v>
      </c>
      <c r="T89" s="492">
        <f t="shared" si="81"/>
        <v>0.16984126984126982</v>
      </c>
      <c r="U89" s="493">
        <f t="shared" si="68"/>
        <v>-9.4708994708994715E-2</v>
      </c>
      <c r="V89" s="492">
        <f t="shared" ref="V89:W89" si="82">(V8*V38)/12/21/7.5</f>
        <v>0</v>
      </c>
      <c r="W89" s="492">
        <f t="shared" si="82"/>
        <v>0</v>
      </c>
      <c r="X89" s="493">
        <f t="shared" si="69"/>
        <v>0</v>
      </c>
      <c r="Y89" s="492">
        <f t="shared" ref="Y89:Z89" si="83">(Y8*Y38)/12/21/7.5</f>
        <v>0</v>
      </c>
      <c r="Z89" s="494">
        <f t="shared" si="83"/>
        <v>0</v>
      </c>
      <c r="AA89" s="495">
        <f t="shared" si="70"/>
        <v>0</v>
      </c>
    </row>
    <row r="90" spans="1:27" x14ac:dyDescent="0.25">
      <c r="A90" s="740"/>
      <c r="B90" s="742"/>
      <c r="C90" s="458" t="s">
        <v>28</v>
      </c>
      <c r="D90" s="483">
        <f t="shared" si="61"/>
        <v>4.6392857142857151</v>
      </c>
      <c r="E90" s="484">
        <f t="shared" si="62"/>
        <v>2.9246031746031749</v>
      </c>
      <c r="F90" s="485">
        <f t="shared" si="63"/>
        <v>-1.7146825396825403</v>
      </c>
      <c r="G90" s="491">
        <f t="shared" si="71"/>
        <v>0.14550264550264552</v>
      </c>
      <c r="H90" s="492">
        <f t="shared" si="71"/>
        <v>8.7301587301587297E-2</v>
      </c>
      <c r="I90" s="493">
        <f t="shared" si="64"/>
        <v>-5.8201058201058226E-2</v>
      </c>
      <c r="J90" s="492">
        <f t="shared" si="72"/>
        <v>1.2596560846560849</v>
      </c>
      <c r="K90" s="492">
        <f t="shared" si="72"/>
        <v>0.85714285714285721</v>
      </c>
      <c r="L90" s="493">
        <f t="shared" si="65"/>
        <v>-0.40251322751322771</v>
      </c>
      <c r="M90" s="492">
        <f t="shared" si="73"/>
        <v>5.9523809523809527E-2</v>
      </c>
      <c r="N90" s="492">
        <f t="shared" si="73"/>
        <v>3.5714285714285712E-2</v>
      </c>
      <c r="O90" s="493">
        <f t="shared" si="66"/>
        <v>-2.3809523809523815E-2</v>
      </c>
      <c r="P90" s="492">
        <f t="shared" si="74"/>
        <v>3.1746031746031749</v>
      </c>
      <c r="Q90" s="494">
        <f t="shared" si="74"/>
        <v>1.9444444444444444</v>
      </c>
      <c r="R90" s="495">
        <f t="shared" si="67"/>
        <v>-1.2301587301587305</v>
      </c>
      <c r="S90" s="492">
        <f t="shared" ref="S90:T90" si="84">(S9*S39)/12/21/7.5</f>
        <v>0.26455026455026454</v>
      </c>
      <c r="T90" s="492">
        <f t="shared" si="84"/>
        <v>0.18253968253968253</v>
      </c>
      <c r="U90" s="493">
        <f t="shared" si="68"/>
        <v>-8.2010582010582006E-2</v>
      </c>
      <c r="V90" s="492">
        <f t="shared" ref="V90:W90" si="85">(V9*V39)/12/21/7.5</f>
        <v>0</v>
      </c>
      <c r="W90" s="492">
        <f t="shared" si="85"/>
        <v>0</v>
      </c>
      <c r="X90" s="493">
        <f t="shared" si="69"/>
        <v>0</v>
      </c>
      <c r="Y90" s="492">
        <f t="shared" ref="Y90:Z90" si="86">(Y9*Y39)/12/21/7.5</f>
        <v>0</v>
      </c>
      <c r="Z90" s="494">
        <f t="shared" si="86"/>
        <v>0</v>
      </c>
      <c r="AA90" s="495">
        <f t="shared" si="70"/>
        <v>0</v>
      </c>
    </row>
    <row r="91" spans="1:27" x14ac:dyDescent="0.25">
      <c r="A91" s="740"/>
      <c r="B91" s="742"/>
      <c r="C91" s="458" t="s">
        <v>29</v>
      </c>
      <c r="D91" s="483">
        <f t="shared" si="61"/>
        <v>4.6392857142857151</v>
      </c>
      <c r="E91" s="484">
        <f t="shared" si="62"/>
        <v>2.9801587301587302</v>
      </c>
      <c r="F91" s="485">
        <f t="shared" si="63"/>
        <v>-1.6591269841269847</v>
      </c>
      <c r="G91" s="491">
        <f t="shared" si="71"/>
        <v>0.14550264550264552</v>
      </c>
      <c r="H91" s="492">
        <f t="shared" si="71"/>
        <v>8.7301587301587297E-2</v>
      </c>
      <c r="I91" s="493">
        <f t="shared" si="64"/>
        <v>-5.8201058201058226E-2</v>
      </c>
      <c r="J91" s="492">
        <f t="shared" si="72"/>
        <v>1.2596560846560849</v>
      </c>
      <c r="K91" s="492">
        <f t="shared" si="72"/>
        <v>0.87301587301587302</v>
      </c>
      <c r="L91" s="493">
        <f t="shared" si="65"/>
        <v>-0.38664021164021189</v>
      </c>
      <c r="M91" s="492">
        <f t="shared" si="73"/>
        <v>5.9523809523809527E-2</v>
      </c>
      <c r="N91" s="492">
        <f t="shared" si="73"/>
        <v>3.5714285714285712E-2</v>
      </c>
      <c r="O91" s="493">
        <f t="shared" si="66"/>
        <v>-2.3809523809523815E-2</v>
      </c>
      <c r="P91" s="492">
        <f t="shared" si="74"/>
        <v>3.1746031746031749</v>
      </c>
      <c r="Q91" s="494">
        <f t="shared" si="74"/>
        <v>1.9841269841269842</v>
      </c>
      <c r="R91" s="495">
        <f t="shared" si="67"/>
        <v>-1.1904761904761907</v>
      </c>
      <c r="S91" s="492">
        <f t="shared" ref="S91:T91" si="87">(S10*S40)/12/21/7.5</f>
        <v>0.26455026455026454</v>
      </c>
      <c r="T91" s="492">
        <f t="shared" si="87"/>
        <v>0.19047619047619049</v>
      </c>
      <c r="U91" s="493">
        <f t="shared" si="68"/>
        <v>-7.4074074074074042E-2</v>
      </c>
      <c r="V91" s="492">
        <f t="shared" ref="V91:W91" si="88">(V10*V40)/12/21/7.5</f>
        <v>0</v>
      </c>
      <c r="W91" s="492">
        <f t="shared" si="88"/>
        <v>0</v>
      </c>
      <c r="X91" s="493">
        <f t="shared" si="69"/>
        <v>0</v>
      </c>
      <c r="Y91" s="492">
        <f t="shared" ref="Y91:Z91" si="89">(Y10*Y40)/12/21/7.5</f>
        <v>0</v>
      </c>
      <c r="Z91" s="494">
        <f t="shared" si="89"/>
        <v>0</v>
      </c>
      <c r="AA91" s="495">
        <f t="shared" si="70"/>
        <v>0</v>
      </c>
    </row>
    <row r="92" spans="1:27" x14ac:dyDescent="0.25">
      <c r="A92" s="740"/>
      <c r="B92" s="742"/>
      <c r="C92" s="458" t="s">
        <v>30</v>
      </c>
      <c r="D92" s="483">
        <f t="shared" si="61"/>
        <v>4.6260582010582016</v>
      </c>
      <c r="E92" s="484">
        <f t="shared" si="62"/>
        <v>2.9880952380952381</v>
      </c>
      <c r="F92" s="485">
        <f t="shared" si="63"/>
        <v>-1.6379629629629635</v>
      </c>
      <c r="G92" s="491">
        <f t="shared" si="71"/>
        <v>0.13492063492063491</v>
      </c>
      <c r="H92" s="492">
        <f t="shared" si="71"/>
        <v>8.0952380952380942E-2</v>
      </c>
      <c r="I92" s="493">
        <f t="shared" si="64"/>
        <v>-5.3968253968253971E-2</v>
      </c>
      <c r="J92" s="492">
        <f t="shared" si="72"/>
        <v>1.2596560846560849</v>
      </c>
      <c r="K92" s="492">
        <f t="shared" si="72"/>
        <v>0.88888888888888895</v>
      </c>
      <c r="L92" s="493">
        <f t="shared" si="65"/>
        <v>-0.37076719576719597</v>
      </c>
      <c r="M92" s="492">
        <f t="shared" si="73"/>
        <v>5.6878306878306882E-2</v>
      </c>
      <c r="N92" s="492">
        <f t="shared" si="73"/>
        <v>3.4126984126984124E-2</v>
      </c>
      <c r="O92" s="493">
        <f t="shared" si="66"/>
        <v>-2.2751322751322758E-2</v>
      </c>
      <c r="P92" s="492">
        <f t="shared" si="74"/>
        <v>3.1746031746031749</v>
      </c>
      <c r="Q92" s="494">
        <f t="shared" si="74"/>
        <v>1.9841269841269842</v>
      </c>
      <c r="R92" s="495">
        <f t="shared" si="67"/>
        <v>-1.1904761904761907</v>
      </c>
      <c r="S92" s="492">
        <f t="shared" ref="S92:T92" si="90">(S11*S41)/12/21/7.5</f>
        <v>0.26455026455026454</v>
      </c>
      <c r="T92" s="492">
        <f t="shared" si="90"/>
        <v>0.19047619047619049</v>
      </c>
      <c r="U92" s="493">
        <f t="shared" si="68"/>
        <v>-7.4074074074074042E-2</v>
      </c>
      <c r="V92" s="492">
        <f t="shared" ref="V92:W92" si="91">(V11*V41)/12/21/7.5</f>
        <v>0</v>
      </c>
      <c r="W92" s="492">
        <f t="shared" si="91"/>
        <v>0</v>
      </c>
      <c r="X92" s="493">
        <f t="shared" si="69"/>
        <v>0</v>
      </c>
      <c r="Y92" s="492">
        <f t="shared" ref="Y92:Z92" si="92">(Y11*Y41)/12/21/7.5</f>
        <v>0</v>
      </c>
      <c r="Z92" s="494">
        <f t="shared" si="92"/>
        <v>0</v>
      </c>
      <c r="AA92" s="495">
        <f t="shared" si="70"/>
        <v>0</v>
      </c>
    </row>
    <row r="93" spans="1:27" x14ac:dyDescent="0.25">
      <c r="A93" s="740"/>
      <c r="B93" s="742"/>
      <c r="C93" s="458" t="s">
        <v>31</v>
      </c>
      <c r="D93" s="483">
        <f t="shared" si="61"/>
        <v>4.6167989417989421</v>
      </c>
      <c r="E93" s="484">
        <f t="shared" si="62"/>
        <v>3.0412698412698411</v>
      </c>
      <c r="F93" s="485">
        <f t="shared" si="63"/>
        <v>-1.5755291005291012</v>
      </c>
      <c r="G93" s="491">
        <f t="shared" si="71"/>
        <v>0.12566137566137567</v>
      </c>
      <c r="H93" s="492">
        <f t="shared" si="71"/>
        <v>7.5396825396825393E-2</v>
      </c>
      <c r="I93" s="493">
        <f t="shared" si="64"/>
        <v>-5.0264550264550276E-2</v>
      </c>
      <c r="J93" s="492">
        <f t="shared" si="72"/>
        <v>1.2596560846560849</v>
      </c>
      <c r="K93" s="492">
        <f t="shared" si="72"/>
        <v>0.90793650793650793</v>
      </c>
      <c r="L93" s="493">
        <f t="shared" si="65"/>
        <v>-0.35171957671957699</v>
      </c>
      <c r="M93" s="492">
        <f t="shared" si="73"/>
        <v>5.6878306878306882E-2</v>
      </c>
      <c r="N93" s="492">
        <f t="shared" si="73"/>
        <v>3.4126984126984124E-2</v>
      </c>
      <c r="O93" s="493">
        <f t="shared" si="66"/>
        <v>-2.2751322751322758E-2</v>
      </c>
      <c r="P93" s="492">
        <f t="shared" si="74"/>
        <v>3.1746031746031749</v>
      </c>
      <c r="Q93" s="494">
        <f t="shared" si="74"/>
        <v>2.0238095238095237</v>
      </c>
      <c r="R93" s="495">
        <f t="shared" si="67"/>
        <v>-1.1507936507936511</v>
      </c>
      <c r="S93" s="492">
        <f t="shared" ref="S93:T93" si="93">(S12*S42)/12/21/7.5</f>
        <v>0.26455026455026454</v>
      </c>
      <c r="T93" s="492">
        <f t="shared" si="93"/>
        <v>0.19841269841269843</v>
      </c>
      <c r="U93" s="493">
        <f t="shared" si="68"/>
        <v>-6.6137566137566106E-2</v>
      </c>
      <c r="V93" s="492">
        <f t="shared" ref="V93:W93" si="94">(V12*V42)/12/21/7.5</f>
        <v>0</v>
      </c>
      <c r="W93" s="492">
        <f t="shared" si="94"/>
        <v>0</v>
      </c>
      <c r="X93" s="493">
        <f t="shared" si="69"/>
        <v>0</v>
      </c>
      <c r="Y93" s="492">
        <f t="shared" ref="Y93:Z93" si="95">(Y12*Y42)/12/21/7.5</f>
        <v>0</v>
      </c>
      <c r="Z93" s="494">
        <f t="shared" si="95"/>
        <v>0</v>
      </c>
      <c r="AA93" s="495">
        <f t="shared" si="70"/>
        <v>0</v>
      </c>
    </row>
    <row r="94" spans="1:27" x14ac:dyDescent="0.25">
      <c r="A94" s="740"/>
      <c r="B94" s="742"/>
      <c r="C94" s="458" t="s">
        <v>32</v>
      </c>
      <c r="D94" s="483">
        <f t="shared" si="61"/>
        <v>4.6088624338624342</v>
      </c>
      <c r="E94" s="484">
        <f t="shared" si="62"/>
        <v>3.0412698412698411</v>
      </c>
      <c r="F94" s="485">
        <f t="shared" si="63"/>
        <v>-1.5675925925925931</v>
      </c>
      <c r="G94" s="491">
        <f t="shared" si="71"/>
        <v>0.11904761904761905</v>
      </c>
      <c r="H94" s="492">
        <f t="shared" si="71"/>
        <v>7.1428571428571425E-2</v>
      </c>
      <c r="I94" s="493">
        <f t="shared" si="64"/>
        <v>-4.761904761904763E-2</v>
      </c>
      <c r="J94" s="492">
        <f t="shared" si="72"/>
        <v>1.2596560846560849</v>
      </c>
      <c r="K94" s="492">
        <f t="shared" si="72"/>
        <v>0.91269841269841268</v>
      </c>
      <c r="L94" s="493">
        <f t="shared" si="65"/>
        <v>-0.34695767195767224</v>
      </c>
      <c r="M94" s="492">
        <f t="shared" si="73"/>
        <v>5.5555555555555559E-2</v>
      </c>
      <c r="N94" s="492">
        <f t="shared" si="73"/>
        <v>3.3333333333333333E-2</v>
      </c>
      <c r="O94" s="493">
        <f t="shared" si="66"/>
        <v>-2.2222222222222227E-2</v>
      </c>
      <c r="P94" s="492">
        <f t="shared" si="74"/>
        <v>3.1746031746031749</v>
      </c>
      <c r="Q94" s="494">
        <f t="shared" si="74"/>
        <v>2.0238095238095237</v>
      </c>
      <c r="R94" s="495">
        <f t="shared" si="67"/>
        <v>-1.1507936507936511</v>
      </c>
      <c r="S94" s="492">
        <f t="shared" ref="S94:T94" si="96">(S13*S43)/12/21/7.5</f>
        <v>0.26455026455026454</v>
      </c>
      <c r="T94" s="492">
        <f t="shared" si="96"/>
        <v>0.19047619047619049</v>
      </c>
      <c r="U94" s="493">
        <f t="shared" si="68"/>
        <v>-7.4074074074074042E-2</v>
      </c>
      <c r="V94" s="492">
        <f t="shared" ref="V94:W94" si="97">(V13*V43)/12/21/7.5</f>
        <v>0</v>
      </c>
      <c r="W94" s="492">
        <f t="shared" si="97"/>
        <v>0</v>
      </c>
      <c r="X94" s="493">
        <f t="shared" si="69"/>
        <v>0</v>
      </c>
      <c r="Y94" s="492">
        <f t="shared" ref="Y94:Z94" si="98">(Y13*Y43)/12/21/7.5</f>
        <v>0</v>
      </c>
      <c r="Z94" s="494">
        <f t="shared" si="98"/>
        <v>0</v>
      </c>
      <c r="AA94" s="495">
        <f t="shared" si="70"/>
        <v>0</v>
      </c>
    </row>
    <row r="95" spans="1:27" x14ac:dyDescent="0.25">
      <c r="A95" s="740"/>
      <c r="B95" s="742"/>
      <c r="C95" s="458" t="s">
        <v>33</v>
      </c>
      <c r="D95" s="483">
        <f t="shared" si="61"/>
        <v>4.6088624338624342</v>
      </c>
      <c r="E95" s="484">
        <f t="shared" si="62"/>
        <v>3.0888888888888895</v>
      </c>
      <c r="F95" s="485">
        <f t="shared" si="63"/>
        <v>-1.5199735449735452</v>
      </c>
      <c r="G95" s="491">
        <f t="shared" si="71"/>
        <v>0.11904761904761905</v>
      </c>
      <c r="H95" s="492">
        <f t="shared" si="71"/>
        <v>7.1428571428571425E-2</v>
      </c>
      <c r="I95" s="493">
        <f t="shared" si="64"/>
        <v>-4.761904761904763E-2</v>
      </c>
      <c r="J95" s="492">
        <f t="shared" si="72"/>
        <v>1.2596560846560849</v>
      </c>
      <c r="K95" s="492">
        <f t="shared" si="72"/>
        <v>0.92063492063492069</v>
      </c>
      <c r="L95" s="493">
        <f t="shared" si="65"/>
        <v>-0.33902116402116422</v>
      </c>
      <c r="M95" s="492">
        <f t="shared" si="73"/>
        <v>5.5555555555555559E-2</v>
      </c>
      <c r="N95" s="492">
        <f t="shared" si="73"/>
        <v>3.3333333333333333E-2</v>
      </c>
      <c r="O95" s="493">
        <f t="shared" si="66"/>
        <v>-2.2222222222222227E-2</v>
      </c>
      <c r="P95" s="492">
        <f t="shared" si="74"/>
        <v>3.1746031746031749</v>
      </c>
      <c r="Q95" s="494">
        <f t="shared" si="74"/>
        <v>2.0634920634920637</v>
      </c>
      <c r="R95" s="495">
        <f t="shared" si="67"/>
        <v>-1.1111111111111112</v>
      </c>
      <c r="S95" s="492">
        <f t="shared" ref="S95:T95" si="99">(S14*S44)/12/21/7.5</f>
        <v>0.26455026455026454</v>
      </c>
      <c r="T95" s="492">
        <f t="shared" si="99"/>
        <v>0.19047619047619049</v>
      </c>
      <c r="U95" s="493">
        <f t="shared" si="68"/>
        <v>-7.4074074074074042E-2</v>
      </c>
      <c r="V95" s="492">
        <f t="shared" ref="V95:W95" si="100">(V14*V44)/12/21/7.5</f>
        <v>0</v>
      </c>
      <c r="W95" s="492">
        <f t="shared" si="100"/>
        <v>0</v>
      </c>
      <c r="X95" s="493">
        <f t="shared" si="69"/>
        <v>0</v>
      </c>
      <c r="Y95" s="492">
        <f t="shared" ref="Y95:Z95" si="101">(Y14*Y44)/12/21/7.5</f>
        <v>0</v>
      </c>
      <c r="Z95" s="494">
        <f t="shared" si="101"/>
        <v>0</v>
      </c>
      <c r="AA95" s="495">
        <f t="shared" si="70"/>
        <v>0</v>
      </c>
    </row>
    <row r="96" spans="1:27" ht="15.75" thickBot="1" x14ac:dyDescent="0.3">
      <c r="A96" s="741"/>
      <c r="B96" s="743"/>
      <c r="C96" s="471" t="s">
        <v>34</v>
      </c>
      <c r="D96" s="496">
        <f t="shared" si="61"/>
        <v>4.6088624338624342</v>
      </c>
      <c r="E96" s="497">
        <f t="shared" si="62"/>
        <v>3.0968253968253974</v>
      </c>
      <c r="F96" s="498">
        <f t="shared" si="63"/>
        <v>-1.5120370370370373</v>
      </c>
      <c r="G96" s="499">
        <f t="shared" si="71"/>
        <v>0.11904761904761905</v>
      </c>
      <c r="H96" s="500">
        <f t="shared" si="71"/>
        <v>7.1428571428571425E-2</v>
      </c>
      <c r="I96" s="501">
        <f t="shared" si="64"/>
        <v>-4.761904761904763E-2</v>
      </c>
      <c r="J96" s="500">
        <f t="shared" si="72"/>
        <v>1.2596560846560849</v>
      </c>
      <c r="K96" s="500">
        <f t="shared" si="72"/>
        <v>0.9285714285714286</v>
      </c>
      <c r="L96" s="501">
        <f t="shared" si="65"/>
        <v>-0.33108465608465631</v>
      </c>
      <c r="M96" s="500">
        <f t="shared" si="73"/>
        <v>5.5555555555555559E-2</v>
      </c>
      <c r="N96" s="500">
        <f t="shared" si="73"/>
        <v>3.3333333333333333E-2</v>
      </c>
      <c r="O96" s="501">
        <f t="shared" si="66"/>
        <v>-2.2222222222222227E-2</v>
      </c>
      <c r="P96" s="500">
        <f t="shared" si="74"/>
        <v>3.1746031746031749</v>
      </c>
      <c r="Q96" s="502">
        <f t="shared" si="74"/>
        <v>2.0634920634920637</v>
      </c>
      <c r="R96" s="503">
        <f t="shared" si="67"/>
        <v>-1.1111111111111112</v>
      </c>
      <c r="S96" s="500">
        <f t="shared" ref="S96:T96" si="102">(S15*S45)/12/21/7.5</f>
        <v>0.26455026455026454</v>
      </c>
      <c r="T96" s="500">
        <f t="shared" si="102"/>
        <v>0.19047619047619049</v>
      </c>
      <c r="U96" s="501">
        <f t="shared" si="68"/>
        <v>-7.4074074074074042E-2</v>
      </c>
      <c r="V96" s="500">
        <f t="shared" ref="V96:W96" si="103">(V15*V45)/12/21/7.5</f>
        <v>0</v>
      </c>
      <c r="W96" s="500">
        <f t="shared" si="103"/>
        <v>0</v>
      </c>
      <c r="X96" s="501">
        <f t="shared" si="69"/>
        <v>0</v>
      </c>
      <c r="Y96" s="500">
        <f t="shared" ref="Y96:Z96" si="104">(Y15*Y45)/12/21/7.5</f>
        <v>0</v>
      </c>
      <c r="Z96" s="502">
        <f t="shared" si="104"/>
        <v>0</v>
      </c>
      <c r="AA96" s="503">
        <f t="shared" si="70"/>
        <v>0</v>
      </c>
    </row>
    <row r="97" spans="1:27" x14ac:dyDescent="0.25">
      <c r="A97" s="740" t="s">
        <v>194</v>
      </c>
      <c r="B97" s="742" t="s">
        <v>13</v>
      </c>
      <c r="C97" s="458" t="s">
        <v>25</v>
      </c>
      <c r="D97" s="459">
        <f>G97+J97+M97+P97</f>
        <v>0</v>
      </c>
      <c r="E97" s="460">
        <f>H97+K97+N97+Q97</f>
        <v>97685.55</v>
      </c>
      <c r="F97" s="461">
        <f>I97+L97+O97+R97</f>
        <v>97685.55</v>
      </c>
      <c r="G97" s="478">
        <v>0</v>
      </c>
      <c r="H97" s="479">
        <f>(G67+I67/2)*((G46-H46)*(1+$AB$46))*Faktory!$D$10</f>
        <v>3330</v>
      </c>
      <c r="I97" s="399">
        <f>H97</f>
        <v>3330</v>
      </c>
      <c r="J97" s="479">
        <v>0</v>
      </c>
      <c r="K97" s="479">
        <f>(J67+L67/2)*((J46-K46)*(1+$AB$46))*Faktory!$D$10</f>
        <v>26426.325000000001</v>
      </c>
      <c r="L97" s="399">
        <f>K97</f>
        <v>26426.325000000001</v>
      </c>
      <c r="M97" s="479">
        <v>0</v>
      </c>
      <c r="N97" s="479">
        <f>(M67+O67/2)*((M46-N46)*(1+$AB$46))*Faktory!$D$10</f>
        <v>1329.2249999999999</v>
      </c>
      <c r="O97" s="399">
        <f>N97</f>
        <v>1329.2249999999999</v>
      </c>
      <c r="P97" s="479">
        <v>0</v>
      </c>
      <c r="Q97" s="480">
        <f>(P67+R67/2)*((P46-Q46)*(1+$AB$46))*Faktory!$D$10</f>
        <v>66600</v>
      </c>
      <c r="R97" s="481">
        <f>Q97</f>
        <v>66600</v>
      </c>
      <c r="S97" s="479">
        <v>0</v>
      </c>
      <c r="T97" s="479">
        <f>(S67+U67/2)*((S46-T46)*(1+$AB$46))*Faktory!$D$10</f>
        <v>5550</v>
      </c>
      <c r="U97" s="399">
        <f>T97</f>
        <v>5550</v>
      </c>
      <c r="V97" s="479">
        <v>0</v>
      </c>
      <c r="W97" s="479">
        <f>(V67+X67/2)*((V46-W46)*(1+$AB$46))*Faktory!$D$10</f>
        <v>0</v>
      </c>
      <c r="X97" s="399">
        <f>W97</f>
        <v>0</v>
      </c>
      <c r="Y97" s="479">
        <v>0</v>
      </c>
      <c r="Z97" s="480">
        <f>(Y67+AA67/2)*((Y46-Z46)*(1+$AB$46))*Faktory!$D$10</f>
        <v>0</v>
      </c>
      <c r="AA97" s="481">
        <f>Z97</f>
        <v>0</v>
      </c>
    </row>
    <row r="98" spans="1:27" x14ac:dyDescent="0.25">
      <c r="A98" s="740"/>
      <c r="B98" s="742"/>
      <c r="C98" s="458" t="s">
        <v>26</v>
      </c>
      <c r="D98" s="459">
        <f t="shared" ref="D98:D106" si="105">G98+J98+M98+P98</f>
        <v>0</v>
      </c>
      <c r="E98" s="460">
        <f t="shared" ref="E98:E116" si="106">H98+K98+N98+Q98</f>
        <v>98322.412500000006</v>
      </c>
      <c r="F98" s="461">
        <f t="shared" ref="F98:F106" si="107">I98+L98+O98+R98</f>
        <v>98322.412500000006</v>
      </c>
      <c r="G98" s="468">
        <v>0</v>
      </c>
      <c r="H98" s="469">
        <f>(G68+I68/2)*((G47-H47)*(1+$AB$46))*Faktory!$D$10</f>
        <v>3191.25</v>
      </c>
      <c r="I98" s="409">
        <f t="shared" ref="I98:I106" si="108">H98</f>
        <v>3191.25</v>
      </c>
      <c r="J98" s="469">
        <v>0</v>
      </c>
      <c r="K98" s="469">
        <f>(J68+L68/2)*((J47-K47)*(1+$AB$46))*Faktory!$D$10</f>
        <v>27226.912499999999</v>
      </c>
      <c r="L98" s="409">
        <f t="shared" ref="L98:L106" si="109">K98</f>
        <v>27226.912499999999</v>
      </c>
      <c r="M98" s="469">
        <v>0</v>
      </c>
      <c r="N98" s="469">
        <f>(M68+O68/2)*((M47-N47)*(1+$AB$46))*Faktory!$D$10</f>
        <v>1304.25</v>
      </c>
      <c r="O98" s="409">
        <f t="shared" ref="O98:O106" si="110">N98</f>
        <v>1304.25</v>
      </c>
      <c r="P98" s="469">
        <v>0</v>
      </c>
      <c r="Q98" s="470">
        <f>(P68+R68/2)*((P47-Q47)*(1+$AB$46))*Faktory!$D$10</f>
        <v>66600</v>
      </c>
      <c r="R98" s="411">
        <f t="shared" ref="R98:R106" si="111">Q98</f>
        <v>66600</v>
      </c>
      <c r="S98" s="469">
        <v>0</v>
      </c>
      <c r="T98" s="469">
        <f>(S68+U68/2)*((S47-T47)*(1+$AB$46))*Faktory!$D$10</f>
        <v>5550</v>
      </c>
      <c r="U98" s="409">
        <f t="shared" ref="U98:U106" si="112">T98</f>
        <v>5550</v>
      </c>
      <c r="V98" s="469">
        <v>0</v>
      </c>
      <c r="W98" s="469">
        <f>(V68+X68/2)*((V47-W47)*(1+$AB$46))*Faktory!$D$10</f>
        <v>0</v>
      </c>
      <c r="X98" s="409">
        <f t="shared" ref="X98:X106" si="113">W98</f>
        <v>0</v>
      </c>
      <c r="Y98" s="469">
        <v>0</v>
      </c>
      <c r="Z98" s="470">
        <f>(Y68+AA68/2)*((Y47-Z47)*(1+$AB$46))*Faktory!$D$10</f>
        <v>0</v>
      </c>
      <c r="AA98" s="411">
        <f t="shared" ref="AA98:AA106" si="114">Z98</f>
        <v>0</v>
      </c>
    </row>
    <row r="99" spans="1:27" x14ac:dyDescent="0.25">
      <c r="A99" s="740"/>
      <c r="B99" s="742"/>
      <c r="C99" s="458" t="s">
        <v>27</v>
      </c>
      <c r="D99" s="459">
        <f t="shared" si="105"/>
        <v>0</v>
      </c>
      <c r="E99" s="460">
        <f t="shared" si="106"/>
        <v>99404.662500000006</v>
      </c>
      <c r="F99" s="461">
        <f t="shared" si="107"/>
        <v>99404.662500000006</v>
      </c>
      <c r="G99" s="468">
        <v>0</v>
      </c>
      <c r="H99" s="469">
        <f>(G69+I69/2)*((G48-H48)*(1+$AB$46))*Faktory!$D$10</f>
        <v>3191.25</v>
      </c>
      <c r="I99" s="409">
        <f t="shared" si="108"/>
        <v>3191.25</v>
      </c>
      <c r="J99" s="469">
        <v>0</v>
      </c>
      <c r="K99" s="469">
        <f>(J69+L69/2)*((J48-K48)*(1+$AB$46))*Faktory!$D$10</f>
        <v>27643.162499999999</v>
      </c>
      <c r="L99" s="409">
        <f t="shared" si="109"/>
        <v>27643.162499999999</v>
      </c>
      <c r="M99" s="469">
        <v>0</v>
      </c>
      <c r="N99" s="469">
        <f>(M69+O69/2)*((M48-N48)*(1+$AB$46))*Faktory!$D$10</f>
        <v>1276.5</v>
      </c>
      <c r="O99" s="409">
        <f t="shared" si="110"/>
        <v>1276.5</v>
      </c>
      <c r="P99" s="469">
        <v>0</v>
      </c>
      <c r="Q99" s="470">
        <f>(P69+R69/2)*((P48-Q48)*(1+$AB$46))*Faktory!$D$10</f>
        <v>67293.75</v>
      </c>
      <c r="R99" s="411">
        <f t="shared" si="111"/>
        <v>67293.75</v>
      </c>
      <c r="S99" s="469">
        <v>0</v>
      </c>
      <c r="T99" s="469">
        <f>(S69+U69/2)*((S48-T48)*(1+$AB$46))*Faktory!$D$10</f>
        <v>5744.25</v>
      </c>
      <c r="U99" s="409">
        <f t="shared" si="112"/>
        <v>5744.25</v>
      </c>
      <c r="V99" s="469">
        <v>0</v>
      </c>
      <c r="W99" s="469">
        <f>(V69+X69/2)*((V48-W48)*(1+$AB$46))*Faktory!$D$10</f>
        <v>0</v>
      </c>
      <c r="X99" s="409">
        <f t="shared" si="113"/>
        <v>0</v>
      </c>
      <c r="Y99" s="469">
        <v>0</v>
      </c>
      <c r="Z99" s="470">
        <f>(Y69+AA69/2)*((Y48-Z48)*(1+$AB$46))*Faktory!$D$10</f>
        <v>0</v>
      </c>
      <c r="AA99" s="411">
        <f t="shared" si="114"/>
        <v>0</v>
      </c>
    </row>
    <row r="100" spans="1:27" x14ac:dyDescent="0.25">
      <c r="A100" s="740"/>
      <c r="B100" s="742"/>
      <c r="C100" s="458" t="s">
        <v>28</v>
      </c>
      <c r="D100" s="459">
        <f t="shared" si="105"/>
        <v>0</v>
      </c>
      <c r="E100" s="460">
        <f t="shared" si="106"/>
        <v>99793.162500000006</v>
      </c>
      <c r="F100" s="461">
        <f t="shared" si="107"/>
        <v>99793.162500000006</v>
      </c>
      <c r="G100" s="468">
        <v>0</v>
      </c>
      <c r="H100" s="469">
        <f>(G70+I70/2)*((G49-H49)*(1+$AB$46))*Faktory!$D$10</f>
        <v>3052.5</v>
      </c>
      <c r="I100" s="409">
        <f t="shared" si="108"/>
        <v>3052.5</v>
      </c>
      <c r="J100" s="469">
        <v>0</v>
      </c>
      <c r="K100" s="469">
        <f>(J70+L70/2)*((J49-K49)*(1+$AB$46))*Faktory!$D$10</f>
        <v>28198.162499999999</v>
      </c>
      <c r="L100" s="409">
        <f t="shared" si="109"/>
        <v>28198.162499999999</v>
      </c>
      <c r="M100" s="469">
        <v>0</v>
      </c>
      <c r="N100" s="469">
        <f>(M70+O70/2)*((M49-N49)*(1+$AB$46))*Faktory!$D$10</f>
        <v>1248.75</v>
      </c>
      <c r="O100" s="409">
        <f t="shared" si="110"/>
        <v>1248.75</v>
      </c>
      <c r="P100" s="469">
        <v>0</v>
      </c>
      <c r="Q100" s="470">
        <f>(P70+R70/2)*((P49-Q49)*(1+$AB$46))*Faktory!$D$10</f>
        <v>67293.75</v>
      </c>
      <c r="R100" s="411">
        <f t="shared" si="111"/>
        <v>67293.75</v>
      </c>
      <c r="S100" s="469">
        <v>0</v>
      </c>
      <c r="T100" s="469">
        <f>(S70+U70/2)*((S49-T49)*(1+$AB$46))*Faktory!$D$10</f>
        <v>5966.25</v>
      </c>
      <c r="U100" s="409">
        <f t="shared" si="112"/>
        <v>5966.25</v>
      </c>
      <c r="V100" s="469">
        <v>0</v>
      </c>
      <c r="W100" s="469">
        <f>(V70+X70/2)*((V49-W49)*(1+$AB$46))*Faktory!$D$10</f>
        <v>0</v>
      </c>
      <c r="X100" s="409">
        <f t="shared" si="113"/>
        <v>0</v>
      </c>
      <c r="Y100" s="469">
        <v>0</v>
      </c>
      <c r="Z100" s="470">
        <f>(Y70+AA70/2)*((Y49-Z49)*(1+$AB$46))*Faktory!$D$10</f>
        <v>0</v>
      </c>
      <c r="AA100" s="411">
        <f t="shared" si="114"/>
        <v>0</v>
      </c>
    </row>
    <row r="101" spans="1:27" x14ac:dyDescent="0.25">
      <c r="A101" s="740"/>
      <c r="B101" s="742"/>
      <c r="C101" s="458" t="s">
        <v>29</v>
      </c>
      <c r="D101" s="459">
        <f t="shared" si="105"/>
        <v>0</v>
      </c>
      <c r="E101" s="460">
        <f t="shared" si="106"/>
        <v>100764.41250000001</v>
      </c>
      <c r="F101" s="461">
        <f t="shared" si="107"/>
        <v>100764.41250000001</v>
      </c>
      <c r="G101" s="468">
        <v>0</v>
      </c>
      <c r="H101" s="469">
        <f>(G71+I71/2)*((G50-H50)*(1+$AB$46))*Faktory!$D$10</f>
        <v>3052.5</v>
      </c>
      <c r="I101" s="409">
        <f t="shared" si="108"/>
        <v>3052.5</v>
      </c>
      <c r="J101" s="469">
        <v>0</v>
      </c>
      <c r="K101" s="469">
        <f>(J71+L71/2)*((J50-K50)*(1+$AB$46))*Faktory!$D$10</f>
        <v>28475.662499999999</v>
      </c>
      <c r="L101" s="409">
        <f t="shared" si="109"/>
        <v>28475.662499999999</v>
      </c>
      <c r="M101" s="469">
        <v>0</v>
      </c>
      <c r="N101" s="469">
        <f>(M71+O71/2)*((M50-N50)*(1+$AB$46))*Faktory!$D$10</f>
        <v>1248.75</v>
      </c>
      <c r="O101" s="409">
        <f t="shared" si="110"/>
        <v>1248.75</v>
      </c>
      <c r="P101" s="469">
        <v>0</v>
      </c>
      <c r="Q101" s="470">
        <f>(P71+R71/2)*((P50-Q50)*(1+$AB$46))*Faktory!$D$10</f>
        <v>67987.5</v>
      </c>
      <c r="R101" s="411">
        <f t="shared" si="111"/>
        <v>67987.5</v>
      </c>
      <c r="S101" s="469">
        <v>0</v>
      </c>
      <c r="T101" s="469">
        <f>(S71+U71/2)*((S50-T50)*(1+$AB$46))*Faktory!$D$10</f>
        <v>6105</v>
      </c>
      <c r="U101" s="409">
        <f t="shared" si="112"/>
        <v>6105</v>
      </c>
      <c r="V101" s="469">
        <v>0</v>
      </c>
      <c r="W101" s="469">
        <f>(V71+X71/2)*((V50-W50)*(1+$AB$46))*Faktory!$D$10</f>
        <v>0</v>
      </c>
      <c r="X101" s="409">
        <f t="shared" si="113"/>
        <v>0</v>
      </c>
      <c r="Y101" s="469">
        <v>0</v>
      </c>
      <c r="Z101" s="470">
        <f>(Y71+AA71/2)*((Y50-Z50)*(1+$AB$46))*Faktory!$D$10</f>
        <v>0</v>
      </c>
      <c r="AA101" s="411">
        <f t="shared" si="114"/>
        <v>0</v>
      </c>
    </row>
    <row r="102" spans="1:27" x14ac:dyDescent="0.25">
      <c r="A102" s="740"/>
      <c r="B102" s="742"/>
      <c r="C102" s="458" t="s">
        <v>30</v>
      </c>
      <c r="D102" s="459">
        <f t="shared" si="105"/>
        <v>0</v>
      </c>
      <c r="E102" s="460">
        <f t="shared" si="106"/>
        <v>100764.41250000001</v>
      </c>
      <c r="F102" s="461">
        <f t="shared" si="107"/>
        <v>100764.41250000001</v>
      </c>
      <c r="G102" s="468">
        <v>0</v>
      </c>
      <c r="H102" s="469">
        <f>(G72+I72/2)*((G51-H51)*(1+$AB$46))*Faktory!$D$10</f>
        <v>2830.5</v>
      </c>
      <c r="I102" s="409">
        <f t="shared" si="108"/>
        <v>2830.5</v>
      </c>
      <c r="J102" s="469">
        <v>0</v>
      </c>
      <c r="K102" s="469">
        <f>(J72+L72/2)*((J51-K51)*(1+$AB$46))*Faktory!$D$10</f>
        <v>28753.162499999999</v>
      </c>
      <c r="L102" s="409">
        <f t="shared" si="109"/>
        <v>28753.162499999999</v>
      </c>
      <c r="M102" s="469">
        <v>0</v>
      </c>
      <c r="N102" s="469">
        <f>(M72+O72/2)*((M51-N51)*(1+$AB$46))*Faktory!$D$10</f>
        <v>1193.25</v>
      </c>
      <c r="O102" s="409">
        <f t="shared" si="110"/>
        <v>1193.25</v>
      </c>
      <c r="P102" s="469">
        <v>0</v>
      </c>
      <c r="Q102" s="470">
        <f>(P72+R72/2)*((P51-Q51)*(1+$AB$46))*Faktory!$D$10</f>
        <v>67987.5</v>
      </c>
      <c r="R102" s="411">
        <f t="shared" si="111"/>
        <v>67987.5</v>
      </c>
      <c r="S102" s="469">
        <v>0</v>
      </c>
      <c r="T102" s="469">
        <f>(S72+U72/2)*((S51-T51)*(1+$AB$46))*Faktory!$D$10</f>
        <v>6105</v>
      </c>
      <c r="U102" s="409">
        <f t="shared" si="112"/>
        <v>6105</v>
      </c>
      <c r="V102" s="469">
        <v>0</v>
      </c>
      <c r="W102" s="469">
        <f>(V72+X72/2)*((V51-W51)*(1+$AB$46))*Faktory!$D$10</f>
        <v>0</v>
      </c>
      <c r="X102" s="409">
        <f t="shared" si="113"/>
        <v>0</v>
      </c>
      <c r="Y102" s="469">
        <v>0</v>
      </c>
      <c r="Z102" s="470">
        <f>(Y72+AA72/2)*((Y51-Z51)*(1+$AB$46))*Faktory!$D$10</f>
        <v>0</v>
      </c>
      <c r="AA102" s="411">
        <f t="shared" si="114"/>
        <v>0</v>
      </c>
    </row>
    <row r="103" spans="1:27" x14ac:dyDescent="0.25">
      <c r="A103" s="740"/>
      <c r="B103" s="742"/>
      <c r="C103" s="458" t="s">
        <v>31</v>
      </c>
      <c r="D103" s="459">
        <f t="shared" si="105"/>
        <v>0</v>
      </c>
      <c r="E103" s="460">
        <f t="shared" si="106"/>
        <v>101596.91250000001</v>
      </c>
      <c r="F103" s="461">
        <f t="shared" si="107"/>
        <v>101596.91250000001</v>
      </c>
      <c r="G103" s="468">
        <v>0</v>
      </c>
      <c r="H103" s="469">
        <f>(G73+I73/2)*((G52-H52)*(1+$AB$46))*Faktory!$D$10</f>
        <v>2636.25</v>
      </c>
      <c r="I103" s="409">
        <f t="shared" si="108"/>
        <v>2636.25</v>
      </c>
      <c r="J103" s="469">
        <v>0</v>
      </c>
      <c r="K103" s="469">
        <f>(J73+L73/2)*((J52-K52)*(1+$AB$46))*Faktory!$D$10</f>
        <v>29086.162499999999</v>
      </c>
      <c r="L103" s="409">
        <f t="shared" si="109"/>
        <v>29086.162499999999</v>
      </c>
      <c r="M103" s="469">
        <v>0</v>
      </c>
      <c r="N103" s="469">
        <f>(M73+O73/2)*((M52-N52)*(1+$AB$46))*Faktory!$D$10</f>
        <v>1193.25</v>
      </c>
      <c r="O103" s="409">
        <f t="shared" si="110"/>
        <v>1193.25</v>
      </c>
      <c r="P103" s="469">
        <v>0</v>
      </c>
      <c r="Q103" s="470">
        <f>(P73+R73/2)*((P52-Q52)*(1+$AB$46))*Faktory!$D$10</f>
        <v>68681.25</v>
      </c>
      <c r="R103" s="411">
        <f t="shared" si="111"/>
        <v>68681.25</v>
      </c>
      <c r="S103" s="469">
        <v>0</v>
      </c>
      <c r="T103" s="469">
        <f>(S73+U73/2)*((S52-T52)*(1+$AB$46))*Faktory!$D$10</f>
        <v>6243.75</v>
      </c>
      <c r="U103" s="409">
        <f t="shared" si="112"/>
        <v>6243.75</v>
      </c>
      <c r="V103" s="469">
        <v>0</v>
      </c>
      <c r="W103" s="469">
        <f>(V73+X73/2)*((V52-W52)*(1+$AB$46))*Faktory!$D$10</f>
        <v>0</v>
      </c>
      <c r="X103" s="409">
        <f t="shared" si="113"/>
        <v>0</v>
      </c>
      <c r="Y103" s="469">
        <v>0</v>
      </c>
      <c r="Z103" s="470">
        <f>(Y73+AA73/2)*((Y52-Z52)*(1+$AB$46))*Faktory!$D$10</f>
        <v>0</v>
      </c>
      <c r="AA103" s="411">
        <f t="shared" si="114"/>
        <v>0</v>
      </c>
    </row>
    <row r="104" spans="1:27" x14ac:dyDescent="0.25">
      <c r="A104" s="740"/>
      <c r="B104" s="742"/>
      <c r="C104" s="458" t="s">
        <v>32</v>
      </c>
      <c r="D104" s="459">
        <f t="shared" si="105"/>
        <v>0</v>
      </c>
      <c r="E104" s="460">
        <f t="shared" si="106"/>
        <v>101513.66250000001</v>
      </c>
      <c r="F104" s="461">
        <f t="shared" si="107"/>
        <v>101513.66250000001</v>
      </c>
      <c r="G104" s="468">
        <v>0</v>
      </c>
      <c r="H104" s="469">
        <f>(G74+I74/2)*((G53-H53)*(1+$AB$46))*Faktory!$D$10</f>
        <v>2497.5</v>
      </c>
      <c r="I104" s="409">
        <f t="shared" si="108"/>
        <v>2497.5</v>
      </c>
      <c r="J104" s="469">
        <v>0</v>
      </c>
      <c r="K104" s="469">
        <f>(J74+L74/2)*((J53-K53)*(1+$AB$46))*Faktory!$D$10</f>
        <v>29169.412499999999</v>
      </c>
      <c r="L104" s="409">
        <f t="shared" si="109"/>
        <v>29169.412499999999</v>
      </c>
      <c r="M104" s="469">
        <v>0</v>
      </c>
      <c r="N104" s="469">
        <f>(M74+O74/2)*((M53-N53)*(1+$AB$46))*Faktory!$D$10</f>
        <v>1165.5</v>
      </c>
      <c r="O104" s="409">
        <f t="shared" si="110"/>
        <v>1165.5</v>
      </c>
      <c r="P104" s="469">
        <v>0</v>
      </c>
      <c r="Q104" s="470">
        <f>(P74+R74/2)*((P53-Q53)*(1+$AB$46))*Faktory!$D$10</f>
        <v>68681.25</v>
      </c>
      <c r="R104" s="411">
        <f t="shared" si="111"/>
        <v>68681.25</v>
      </c>
      <c r="S104" s="469">
        <v>0</v>
      </c>
      <c r="T104" s="469">
        <f>(S74+U74/2)*((S53-T53)*(1+$AB$46))*Faktory!$D$10</f>
        <v>6105</v>
      </c>
      <c r="U104" s="409">
        <f t="shared" si="112"/>
        <v>6105</v>
      </c>
      <c r="V104" s="469">
        <v>0</v>
      </c>
      <c r="W104" s="469">
        <f>(V74+X74/2)*((V53-W53)*(1+$AB$46))*Faktory!$D$10</f>
        <v>0</v>
      </c>
      <c r="X104" s="409">
        <f t="shared" si="113"/>
        <v>0</v>
      </c>
      <c r="Y104" s="469">
        <v>0</v>
      </c>
      <c r="Z104" s="470">
        <f>(Y74+AA74/2)*((Y53-Z53)*(1+$AB$46))*Faktory!$D$10</f>
        <v>0</v>
      </c>
      <c r="AA104" s="411">
        <f t="shared" si="114"/>
        <v>0</v>
      </c>
    </row>
    <row r="105" spans="1:27" x14ac:dyDescent="0.25">
      <c r="A105" s="740"/>
      <c r="B105" s="742"/>
      <c r="C105" s="458" t="s">
        <v>33</v>
      </c>
      <c r="D105" s="459">
        <f t="shared" si="105"/>
        <v>0</v>
      </c>
      <c r="E105" s="460">
        <f t="shared" si="106"/>
        <v>102346.16250000001</v>
      </c>
      <c r="F105" s="461">
        <f t="shared" si="107"/>
        <v>102346.16250000001</v>
      </c>
      <c r="G105" s="468">
        <v>0</v>
      </c>
      <c r="H105" s="469">
        <f>(G75+I75/2)*((G54-H54)*(1+$AB$46))*Faktory!$D$10</f>
        <v>2497.5</v>
      </c>
      <c r="I105" s="409">
        <f t="shared" si="108"/>
        <v>2497.5</v>
      </c>
      <c r="J105" s="469">
        <v>0</v>
      </c>
      <c r="K105" s="469">
        <f>(J75+L75/2)*((J54-K54)*(1+$AB$46))*Faktory!$D$10</f>
        <v>29308.162499999999</v>
      </c>
      <c r="L105" s="409">
        <f t="shared" si="109"/>
        <v>29308.162499999999</v>
      </c>
      <c r="M105" s="469">
        <v>0</v>
      </c>
      <c r="N105" s="469">
        <f>(M75+O75/2)*((M54-N54)*(1+$AB$46))*Faktory!$D$10</f>
        <v>1165.5</v>
      </c>
      <c r="O105" s="409">
        <f t="shared" si="110"/>
        <v>1165.5</v>
      </c>
      <c r="P105" s="469">
        <v>0</v>
      </c>
      <c r="Q105" s="470">
        <f>(P75+R75/2)*((P54-Q54)*(1+$AB$46))*Faktory!$D$10</f>
        <v>69375</v>
      </c>
      <c r="R105" s="411">
        <f t="shared" si="111"/>
        <v>69375</v>
      </c>
      <c r="S105" s="469">
        <v>0</v>
      </c>
      <c r="T105" s="469">
        <f>(S75+U75/2)*((S54-T54)*(1+$AB$46))*Faktory!$D$10</f>
        <v>6105</v>
      </c>
      <c r="U105" s="409">
        <f t="shared" si="112"/>
        <v>6105</v>
      </c>
      <c r="V105" s="469">
        <v>0</v>
      </c>
      <c r="W105" s="469">
        <f>(V75+X75/2)*((V54-W54)*(1+$AB$46))*Faktory!$D$10</f>
        <v>0</v>
      </c>
      <c r="X105" s="409">
        <f t="shared" si="113"/>
        <v>0</v>
      </c>
      <c r="Y105" s="469">
        <v>0</v>
      </c>
      <c r="Z105" s="470">
        <f>(Y75+AA75/2)*((Y54-Z54)*(1+$AB$46))*Faktory!$D$10</f>
        <v>0</v>
      </c>
      <c r="AA105" s="411">
        <f t="shared" si="114"/>
        <v>0</v>
      </c>
    </row>
    <row r="106" spans="1:27" ht="15.75" thickBot="1" x14ac:dyDescent="0.3">
      <c r="A106" s="741"/>
      <c r="B106" s="743"/>
      <c r="C106" s="471" t="s">
        <v>34</v>
      </c>
      <c r="D106" s="472">
        <f t="shared" si="105"/>
        <v>0</v>
      </c>
      <c r="E106" s="473">
        <f t="shared" si="106"/>
        <v>102484.91250000001</v>
      </c>
      <c r="F106" s="474">
        <f t="shared" si="107"/>
        <v>102484.91250000001</v>
      </c>
      <c r="G106" s="475">
        <v>0</v>
      </c>
      <c r="H106" s="476">
        <f>(G76+I76/2)*((G55-H55)*(1+$AB$46))*Faktory!$D$10</f>
        <v>2497.5</v>
      </c>
      <c r="I106" s="417">
        <f t="shared" si="108"/>
        <v>2497.5</v>
      </c>
      <c r="J106" s="476">
        <v>0</v>
      </c>
      <c r="K106" s="476">
        <f>(J76+L76/2)*((J55-K55)*(1+$AB$46))*Faktory!$D$10</f>
        <v>29446.912499999999</v>
      </c>
      <c r="L106" s="417">
        <f t="shared" si="109"/>
        <v>29446.912499999999</v>
      </c>
      <c r="M106" s="476">
        <v>0</v>
      </c>
      <c r="N106" s="476">
        <f>(M76+O76/2)*((M55-N55)*(1+$AB$46))*Faktory!$D$10</f>
        <v>1165.5</v>
      </c>
      <c r="O106" s="417">
        <f t="shared" si="110"/>
        <v>1165.5</v>
      </c>
      <c r="P106" s="476">
        <v>0</v>
      </c>
      <c r="Q106" s="477">
        <f>(P76+R76/2)*((P55-Q55)*(1+$AB$46))*Faktory!$D$10</f>
        <v>69375</v>
      </c>
      <c r="R106" s="419">
        <f t="shared" si="111"/>
        <v>69375</v>
      </c>
      <c r="S106" s="476">
        <v>0</v>
      </c>
      <c r="T106" s="476">
        <f>(S76+U76/2)*((S55-T55)*(1+$AB$46))*Faktory!$D$10</f>
        <v>6105</v>
      </c>
      <c r="U106" s="417">
        <f t="shared" si="112"/>
        <v>6105</v>
      </c>
      <c r="V106" s="476">
        <v>0</v>
      </c>
      <c r="W106" s="476">
        <f>(V76+X76/2)*((V55-W55)*(1+$AB$46))*Faktory!$D$10</f>
        <v>0</v>
      </c>
      <c r="X106" s="417">
        <f t="shared" si="113"/>
        <v>0</v>
      </c>
      <c r="Y106" s="476">
        <v>0</v>
      </c>
      <c r="Z106" s="477">
        <f>(Y76+AA76/2)*((Y55-Z55)*(1+$AB$46))*Faktory!$D$10</f>
        <v>0</v>
      </c>
      <c r="AA106" s="419">
        <f t="shared" si="114"/>
        <v>0</v>
      </c>
    </row>
    <row r="107" spans="1:27" x14ac:dyDescent="0.25">
      <c r="A107" s="740" t="s">
        <v>197</v>
      </c>
      <c r="B107" s="742" t="s">
        <v>13</v>
      </c>
      <c r="C107" s="458" t="s">
        <v>25</v>
      </c>
      <c r="D107" s="459">
        <f>G107+J107+M107+P107</f>
        <v>42131</v>
      </c>
      <c r="E107" s="460">
        <f t="shared" si="106"/>
        <v>0</v>
      </c>
      <c r="F107" s="461">
        <f>E107-D107</f>
        <v>-42131</v>
      </c>
      <c r="G107" s="478">
        <f t="shared" ref="G107:H116" si="115">G6*G16</f>
        <v>1770</v>
      </c>
      <c r="H107" s="479">
        <f t="shared" si="115"/>
        <v>0</v>
      </c>
      <c r="I107" s="399">
        <f>H107-G107</f>
        <v>-1770</v>
      </c>
      <c r="J107" s="479">
        <f t="shared" ref="J107:K116" si="116">J6*J16</f>
        <v>4255</v>
      </c>
      <c r="K107" s="479">
        <f t="shared" si="116"/>
        <v>0</v>
      </c>
      <c r="L107" s="399">
        <f t="shared" ref="L107:L116" si="117">K107-J107</f>
        <v>-4255</v>
      </c>
      <c r="M107" s="479">
        <f t="shared" ref="M107:N116" si="118">M6*M16</f>
        <v>706</v>
      </c>
      <c r="N107" s="479">
        <f t="shared" si="118"/>
        <v>0</v>
      </c>
      <c r="O107" s="399">
        <f t="shared" ref="O107:O116" si="119">N107-M107</f>
        <v>-706</v>
      </c>
      <c r="P107" s="479">
        <f t="shared" ref="P107:Q116" si="120">P6*P16</f>
        <v>35400</v>
      </c>
      <c r="Q107" s="480">
        <f t="shared" si="120"/>
        <v>0</v>
      </c>
      <c r="R107" s="481">
        <f t="shared" ref="R107:R116" si="121">Q107-P107</f>
        <v>-35400</v>
      </c>
      <c r="S107" s="479">
        <f t="shared" ref="S107:T107" si="122">S6*S16</f>
        <v>2950</v>
      </c>
      <c r="T107" s="479">
        <f t="shared" si="122"/>
        <v>0</v>
      </c>
      <c r="U107" s="399">
        <f t="shared" ref="U107:U116" si="123">T107-S107</f>
        <v>-2950</v>
      </c>
      <c r="V107" s="479">
        <f t="shared" ref="V107:W107" si="124">V6*V16</f>
        <v>0</v>
      </c>
      <c r="W107" s="479">
        <f t="shared" si="124"/>
        <v>0</v>
      </c>
      <c r="X107" s="399">
        <f t="shared" ref="X107:X116" si="125">W107-V107</f>
        <v>0</v>
      </c>
      <c r="Y107" s="479">
        <f t="shared" ref="Y107:Z107" si="126">Y6*Y16</f>
        <v>0</v>
      </c>
      <c r="Z107" s="480">
        <f t="shared" si="126"/>
        <v>0</v>
      </c>
      <c r="AA107" s="481">
        <f t="shared" ref="AA107:AA116" si="127">Z107-Y107</f>
        <v>0</v>
      </c>
    </row>
    <row r="108" spans="1:27" x14ac:dyDescent="0.25">
      <c r="A108" s="740"/>
      <c r="B108" s="742"/>
      <c r="C108" s="458" t="s">
        <v>26</v>
      </c>
      <c r="D108" s="459">
        <f t="shared" ref="D108:D116" si="128">G108+J108+M108+P108</f>
        <v>42043.984864300626</v>
      </c>
      <c r="E108" s="460">
        <f t="shared" si="106"/>
        <v>0</v>
      </c>
      <c r="F108" s="461">
        <f t="shared" ref="F108:F116" si="129">E108-D108</f>
        <v>-42043.984864300626</v>
      </c>
      <c r="G108" s="468">
        <f t="shared" si="115"/>
        <v>1696.25</v>
      </c>
      <c r="H108" s="469">
        <f t="shared" si="115"/>
        <v>0</v>
      </c>
      <c r="I108" s="409">
        <f t="shared" ref="I108:I116" si="130">H108-G108</f>
        <v>-1696.25</v>
      </c>
      <c r="J108" s="469">
        <f t="shared" si="116"/>
        <v>4255</v>
      </c>
      <c r="K108" s="469">
        <f t="shared" si="116"/>
        <v>0</v>
      </c>
      <c r="L108" s="409">
        <f t="shared" si="117"/>
        <v>-4255</v>
      </c>
      <c r="M108" s="469">
        <f t="shared" si="118"/>
        <v>692.73486430062633</v>
      </c>
      <c r="N108" s="469">
        <f t="shared" si="118"/>
        <v>0</v>
      </c>
      <c r="O108" s="409">
        <f t="shared" si="119"/>
        <v>-692.73486430062633</v>
      </c>
      <c r="P108" s="469">
        <f t="shared" si="120"/>
        <v>35400</v>
      </c>
      <c r="Q108" s="470">
        <f t="shared" si="120"/>
        <v>0</v>
      </c>
      <c r="R108" s="411">
        <f t="shared" si="121"/>
        <v>-35400</v>
      </c>
      <c r="S108" s="469">
        <f t="shared" ref="S108:T108" si="131">S7*S17</f>
        <v>2950</v>
      </c>
      <c r="T108" s="469">
        <f t="shared" si="131"/>
        <v>0</v>
      </c>
      <c r="U108" s="409">
        <f t="shared" si="123"/>
        <v>-2950</v>
      </c>
      <c r="V108" s="469">
        <f t="shared" ref="V108:W108" si="132">V7*V17</f>
        <v>0</v>
      </c>
      <c r="W108" s="469">
        <f t="shared" si="132"/>
        <v>0</v>
      </c>
      <c r="X108" s="409">
        <f t="shared" si="125"/>
        <v>0</v>
      </c>
      <c r="Y108" s="469">
        <f t="shared" ref="Y108:Z108" si="133">Y7*Y17</f>
        <v>0</v>
      </c>
      <c r="Z108" s="470">
        <f t="shared" si="133"/>
        <v>0</v>
      </c>
      <c r="AA108" s="411">
        <f t="shared" si="127"/>
        <v>0</v>
      </c>
    </row>
    <row r="109" spans="1:27" x14ac:dyDescent="0.25">
      <c r="A109" s="740"/>
      <c r="B109" s="742"/>
      <c r="C109" s="458" t="s">
        <v>27</v>
      </c>
      <c r="D109" s="459">
        <f t="shared" si="128"/>
        <v>42029.245824634658</v>
      </c>
      <c r="E109" s="460">
        <f t="shared" si="106"/>
        <v>0</v>
      </c>
      <c r="F109" s="461">
        <f t="shared" si="129"/>
        <v>-42029.245824634658</v>
      </c>
      <c r="G109" s="468">
        <f t="shared" si="115"/>
        <v>1696.25</v>
      </c>
      <c r="H109" s="469">
        <f t="shared" si="115"/>
        <v>0</v>
      </c>
      <c r="I109" s="409">
        <f t="shared" si="130"/>
        <v>-1696.25</v>
      </c>
      <c r="J109" s="469">
        <f t="shared" si="116"/>
        <v>4255</v>
      </c>
      <c r="K109" s="469">
        <f t="shared" si="116"/>
        <v>0</v>
      </c>
      <c r="L109" s="409">
        <f t="shared" si="117"/>
        <v>-4255</v>
      </c>
      <c r="M109" s="469">
        <f t="shared" si="118"/>
        <v>677.99582463465549</v>
      </c>
      <c r="N109" s="469">
        <f t="shared" si="118"/>
        <v>0</v>
      </c>
      <c r="O109" s="409">
        <f t="shared" si="119"/>
        <v>-677.99582463465549</v>
      </c>
      <c r="P109" s="469">
        <f t="shared" si="120"/>
        <v>35400</v>
      </c>
      <c r="Q109" s="470">
        <f t="shared" si="120"/>
        <v>0</v>
      </c>
      <c r="R109" s="411">
        <f t="shared" si="121"/>
        <v>-35400</v>
      </c>
      <c r="S109" s="469">
        <f t="shared" ref="S109:T109" si="134">S8*S18</f>
        <v>2950</v>
      </c>
      <c r="T109" s="469">
        <f t="shared" si="134"/>
        <v>0</v>
      </c>
      <c r="U109" s="409">
        <f t="shared" si="123"/>
        <v>-2950</v>
      </c>
      <c r="V109" s="469">
        <f t="shared" ref="V109:W109" si="135">V8*V18</f>
        <v>0</v>
      </c>
      <c r="W109" s="469">
        <f t="shared" si="135"/>
        <v>0</v>
      </c>
      <c r="X109" s="409">
        <f t="shared" si="125"/>
        <v>0</v>
      </c>
      <c r="Y109" s="469">
        <f t="shared" ref="Y109:Z109" si="136">Y8*Y18</f>
        <v>0</v>
      </c>
      <c r="Z109" s="470">
        <f t="shared" si="136"/>
        <v>0</v>
      </c>
      <c r="AA109" s="411">
        <f t="shared" si="127"/>
        <v>0</v>
      </c>
    </row>
    <row r="110" spans="1:27" x14ac:dyDescent="0.25">
      <c r="A110" s="740"/>
      <c r="B110" s="742"/>
      <c r="C110" s="458" t="s">
        <v>28</v>
      </c>
      <c r="D110" s="459">
        <f t="shared" si="128"/>
        <v>41940.756784968682</v>
      </c>
      <c r="E110" s="460">
        <f t="shared" si="106"/>
        <v>0</v>
      </c>
      <c r="F110" s="461">
        <f t="shared" si="129"/>
        <v>-41940.756784968682</v>
      </c>
      <c r="G110" s="468">
        <f t="shared" si="115"/>
        <v>1622.5</v>
      </c>
      <c r="H110" s="469">
        <f t="shared" si="115"/>
        <v>0</v>
      </c>
      <c r="I110" s="409">
        <f t="shared" si="130"/>
        <v>-1622.5</v>
      </c>
      <c r="J110" s="469">
        <f t="shared" si="116"/>
        <v>4255</v>
      </c>
      <c r="K110" s="469">
        <f t="shared" si="116"/>
        <v>0</v>
      </c>
      <c r="L110" s="409">
        <f t="shared" si="117"/>
        <v>-4255</v>
      </c>
      <c r="M110" s="469">
        <f t="shared" si="118"/>
        <v>663.25678496868477</v>
      </c>
      <c r="N110" s="469">
        <f t="shared" si="118"/>
        <v>0</v>
      </c>
      <c r="O110" s="409">
        <f t="shared" si="119"/>
        <v>-663.25678496868477</v>
      </c>
      <c r="P110" s="469">
        <f t="shared" si="120"/>
        <v>35400</v>
      </c>
      <c r="Q110" s="470">
        <f t="shared" si="120"/>
        <v>0</v>
      </c>
      <c r="R110" s="411">
        <f t="shared" si="121"/>
        <v>-35400</v>
      </c>
      <c r="S110" s="469">
        <f t="shared" ref="S110:T110" si="137">S9*S19</f>
        <v>2950</v>
      </c>
      <c r="T110" s="469">
        <f t="shared" si="137"/>
        <v>0</v>
      </c>
      <c r="U110" s="409">
        <f t="shared" si="123"/>
        <v>-2950</v>
      </c>
      <c r="V110" s="469">
        <f t="shared" ref="V110:W110" si="138">V9*V19</f>
        <v>0</v>
      </c>
      <c r="W110" s="469">
        <f t="shared" si="138"/>
        <v>0</v>
      </c>
      <c r="X110" s="409">
        <f t="shared" si="125"/>
        <v>0</v>
      </c>
      <c r="Y110" s="469">
        <f t="shared" ref="Y110:Z110" si="139">Y9*Y19</f>
        <v>0</v>
      </c>
      <c r="Z110" s="470">
        <f t="shared" si="139"/>
        <v>0</v>
      </c>
      <c r="AA110" s="411">
        <f t="shared" si="127"/>
        <v>0</v>
      </c>
    </row>
    <row r="111" spans="1:27" x14ac:dyDescent="0.25">
      <c r="A111" s="740"/>
      <c r="B111" s="742"/>
      <c r="C111" s="458" t="s">
        <v>29</v>
      </c>
      <c r="D111" s="459">
        <f t="shared" si="128"/>
        <v>41940.756784968682</v>
      </c>
      <c r="E111" s="460">
        <f t="shared" si="106"/>
        <v>0</v>
      </c>
      <c r="F111" s="461">
        <f t="shared" si="129"/>
        <v>-41940.756784968682</v>
      </c>
      <c r="G111" s="468">
        <f t="shared" si="115"/>
        <v>1622.5</v>
      </c>
      <c r="H111" s="469">
        <f t="shared" si="115"/>
        <v>0</v>
      </c>
      <c r="I111" s="409">
        <f t="shared" si="130"/>
        <v>-1622.5</v>
      </c>
      <c r="J111" s="469">
        <f t="shared" si="116"/>
        <v>4255</v>
      </c>
      <c r="K111" s="469">
        <f t="shared" si="116"/>
        <v>0</v>
      </c>
      <c r="L111" s="409">
        <f t="shared" si="117"/>
        <v>-4255</v>
      </c>
      <c r="M111" s="469">
        <f t="shared" si="118"/>
        <v>663.25678496868477</v>
      </c>
      <c r="N111" s="469">
        <f t="shared" si="118"/>
        <v>0</v>
      </c>
      <c r="O111" s="409">
        <f t="shared" si="119"/>
        <v>-663.25678496868477</v>
      </c>
      <c r="P111" s="469">
        <f t="shared" si="120"/>
        <v>35400</v>
      </c>
      <c r="Q111" s="470">
        <f t="shared" si="120"/>
        <v>0</v>
      </c>
      <c r="R111" s="411">
        <f t="shared" si="121"/>
        <v>-35400</v>
      </c>
      <c r="S111" s="469">
        <f t="shared" ref="S111:T111" si="140">S10*S20</f>
        <v>2950</v>
      </c>
      <c r="T111" s="469">
        <f t="shared" si="140"/>
        <v>0</v>
      </c>
      <c r="U111" s="409">
        <f t="shared" si="123"/>
        <v>-2950</v>
      </c>
      <c r="V111" s="469">
        <f t="shared" ref="V111:W111" si="141">V10*V20</f>
        <v>0</v>
      </c>
      <c r="W111" s="469">
        <f t="shared" si="141"/>
        <v>0</v>
      </c>
      <c r="X111" s="409">
        <f t="shared" si="125"/>
        <v>0</v>
      </c>
      <c r="Y111" s="469">
        <f t="shared" ref="Y111:Z111" si="142">Y10*Y20</f>
        <v>0</v>
      </c>
      <c r="Z111" s="470">
        <f t="shared" si="142"/>
        <v>0</v>
      </c>
      <c r="AA111" s="411">
        <f t="shared" si="127"/>
        <v>0</v>
      </c>
    </row>
    <row r="112" spans="1:27" x14ac:dyDescent="0.25">
      <c r="A112" s="740"/>
      <c r="B112" s="742"/>
      <c r="C112" s="458" t="s">
        <v>30</v>
      </c>
      <c r="D112" s="459">
        <f t="shared" si="128"/>
        <v>41793.278705636745</v>
      </c>
      <c r="E112" s="460">
        <f t="shared" si="106"/>
        <v>0</v>
      </c>
      <c r="F112" s="461">
        <f t="shared" si="129"/>
        <v>-41793.278705636745</v>
      </c>
      <c r="G112" s="468">
        <f t="shared" si="115"/>
        <v>1504.5</v>
      </c>
      <c r="H112" s="469">
        <f t="shared" si="115"/>
        <v>0</v>
      </c>
      <c r="I112" s="409">
        <f t="shared" si="130"/>
        <v>-1504.5</v>
      </c>
      <c r="J112" s="469">
        <f t="shared" si="116"/>
        <v>4255</v>
      </c>
      <c r="K112" s="469">
        <f t="shared" si="116"/>
        <v>0</v>
      </c>
      <c r="L112" s="409">
        <f t="shared" si="117"/>
        <v>-4255</v>
      </c>
      <c r="M112" s="469">
        <f t="shared" si="118"/>
        <v>633.77870563674321</v>
      </c>
      <c r="N112" s="469">
        <f t="shared" si="118"/>
        <v>0</v>
      </c>
      <c r="O112" s="409">
        <f t="shared" si="119"/>
        <v>-633.77870563674321</v>
      </c>
      <c r="P112" s="469">
        <f t="shared" si="120"/>
        <v>35400</v>
      </c>
      <c r="Q112" s="470">
        <f t="shared" si="120"/>
        <v>0</v>
      </c>
      <c r="R112" s="411">
        <f t="shared" si="121"/>
        <v>-35400</v>
      </c>
      <c r="S112" s="469">
        <f t="shared" ref="S112:T112" si="143">S11*S21</f>
        <v>2950</v>
      </c>
      <c r="T112" s="469">
        <f t="shared" si="143"/>
        <v>0</v>
      </c>
      <c r="U112" s="409">
        <f t="shared" si="123"/>
        <v>-2950</v>
      </c>
      <c r="V112" s="469">
        <f t="shared" ref="V112:W112" si="144">V11*V21</f>
        <v>0</v>
      </c>
      <c r="W112" s="469">
        <f t="shared" si="144"/>
        <v>0</v>
      </c>
      <c r="X112" s="409">
        <f t="shared" si="125"/>
        <v>0</v>
      </c>
      <c r="Y112" s="469">
        <f t="shared" ref="Y112:Z112" si="145">Y11*Y21</f>
        <v>0</v>
      </c>
      <c r="Z112" s="470">
        <f t="shared" si="145"/>
        <v>0</v>
      </c>
      <c r="AA112" s="411">
        <f t="shared" si="127"/>
        <v>0</v>
      </c>
    </row>
    <row r="113" spans="1:28" x14ac:dyDescent="0.25">
      <c r="A113" s="740"/>
      <c r="B113" s="742"/>
      <c r="C113" s="458" t="s">
        <v>31</v>
      </c>
      <c r="D113" s="459">
        <f t="shared" si="128"/>
        <v>41690.028705636745</v>
      </c>
      <c r="E113" s="460">
        <f t="shared" si="106"/>
        <v>0</v>
      </c>
      <c r="F113" s="461">
        <f t="shared" si="129"/>
        <v>-41690.028705636745</v>
      </c>
      <c r="G113" s="468">
        <f t="shared" si="115"/>
        <v>1401.25</v>
      </c>
      <c r="H113" s="469">
        <f t="shared" si="115"/>
        <v>0</v>
      </c>
      <c r="I113" s="409">
        <f t="shared" si="130"/>
        <v>-1401.25</v>
      </c>
      <c r="J113" s="469">
        <f t="shared" si="116"/>
        <v>4255</v>
      </c>
      <c r="K113" s="469">
        <f t="shared" si="116"/>
        <v>0</v>
      </c>
      <c r="L113" s="409">
        <f t="shared" si="117"/>
        <v>-4255</v>
      </c>
      <c r="M113" s="469">
        <f t="shared" si="118"/>
        <v>633.77870563674321</v>
      </c>
      <c r="N113" s="469">
        <f t="shared" si="118"/>
        <v>0</v>
      </c>
      <c r="O113" s="409">
        <f t="shared" si="119"/>
        <v>-633.77870563674321</v>
      </c>
      <c r="P113" s="469">
        <f t="shared" si="120"/>
        <v>35400</v>
      </c>
      <c r="Q113" s="470">
        <f t="shared" si="120"/>
        <v>0</v>
      </c>
      <c r="R113" s="411">
        <f t="shared" si="121"/>
        <v>-35400</v>
      </c>
      <c r="S113" s="469">
        <f t="shared" ref="S113:T113" si="146">S12*S22</f>
        <v>2950</v>
      </c>
      <c r="T113" s="469">
        <f t="shared" si="146"/>
        <v>0</v>
      </c>
      <c r="U113" s="409">
        <f t="shared" si="123"/>
        <v>-2950</v>
      </c>
      <c r="V113" s="469">
        <f t="shared" ref="V113:W113" si="147">V12*V22</f>
        <v>0</v>
      </c>
      <c r="W113" s="469">
        <f t="shared" si="147"/>
        <v>0</v>
      </c>
      <c r="X113" s="409">
        <f t="shared" si="125"/>
        <v>0</v>
      </c>
      <c r="Y113" s="469">
        <f t="shared" ref="Y113:Z113" si="148">Y12*Y22</f>
        <v>0</v>
      </c>
      <c r="Z113" s="470">
        <f t="shared" si="148"/>
        <v>0</v>
      </c>
      <c r="AA113" s="411">
        <f t="shared" si="127"/>
        <v>0</v>
      </c>
    </row>
    <row r="114" spans="1:28" x14ac:dyDescent="0.25">
      <c r="A114" s="740"/>
      <c r="B114" s="742"/>
      <c r="C114" s="458" t="s">
        <v>32</v>
      </c>
      <c r="D114" s="459">
        <f t="shared" si="128"/>
        <v>41601.539665970769</v>
      </c>
      <c r="E114" s="460">
        <f t="shared" si="106"/>
        <v>0</v>
      </c>
      <c r="F114" s="461">
        <f t="shared" si="129"/>
        <v>-41601.539665970769</v>
      </c>
      <c r="G114" s="468">
        <f t="shared" si="115"/>
        <v>1327.5</v>
      </c>
      <c r="H114" s="469">
        <f t="shared" si="115"/>
        <v>0</v>
      </c>
      <c r="I114" s="409">
        <f t="shared" si="130"/>
        <v>-1327.5</v>
      </c>
      <c r="J114" s="469">
        <f t="shared" si="116"/>
        <v>4255</v>
      </c>
      <c r="K114" s="469">
        <f t="shared" si="116"/>
        <v>0</v>
      </c>
      <c r="L114" s="409">
        <f t="shared" si="117"/>
        <v>-4255</v>
      </c>
      <c r="M114" s="469">
        <f t="shared" si="118"/>
        <v>619.03966597077249</v>
      </c>
      <c r="N114" s="469">
        <f t="shared" si="118"/>
        <v>0</v>
      </c>
      <c r="O114" s="409">
        <f t="shared" si="119"/>
        <v>-619.03966597077249</v>
      </c>
      <c r="P114" s="469">
        <f t="shared" si="120"/>
        <v>35400</v>
      </c>
      <c r="Q114" s="470">
        <f t="shared" si="120"/>
        <v>0</v>
      </c>
      <c r="R114" s="411">
        <f t="shared" si="121"/>
        <v>-35400</v>
      </c>
      <c r="S114" s="469">
        <f t="shared" ref="S114:T114" si="149">S13*S23</f>
        <v>2950</v>
      </c>
      <c r="T114" s="469">
        <f t="shared" si="149"/>
        <v>0</v>
      </c>
      <c r="U114" s="409">
        <f t="shared" si="123"/>
        <v>-2950</v>
      </c>
      <c r="V114" s="469">
        <f t="shared" ref="V114:W114" si="150">V13*V23</f>
        <v>0</v>
      </c>
      <c r="W114" s="469">
        <f t="shared" si="150"/>
        <v>0</v>
      </c>
      <c r="X114" s="409">
        <f t="shared" si="125"/>
        <v>0</v>
      </c>
      <c r="Y114" s="469">
        <f t="shared" ref="Y114:Z114" si="151">Y13*Y23</f>
        <v>0</v>
      </c>
      <c r="Z114" s="470">
        <f t="shared" si="151"/>
        <v>0</v>
      </c>
      <c r="AA114" s="411">
        <f t="shared" si="127"/>
        <v>0</v>
      </c>
    </row>
    <row r="115" spans="1:28" x14ac:dyDescent="0.25">
      <c r="A115" s="740"/>
      <c r="B115" s="742"/>
      <c r="C115" s="458" t="s">
        <v>33</v>
      </c>
      <c r="D115" s="459">
        <f t="shared" si="128"/>
        <v>41601.539665970769</v>
      </c>
      <c r="E115" s="460">
        <f t="shared" si="106"/>
        <v>0</v>
      </c>
      <c r="F115" s="461">
        <f t="shared" si="129"/>
        <v>-41601.539665970769</v>
      </c>
      <c r="G115" s="468">
        <f t="shared" si="115"/>
        <v>1327.5</v>
      </c>
      <c r="H115" s="469">
        <f t="shared" si="115"/>
        <v>0</v>
      </c>
      <c r="I115" s="409">
        <f t="shared" si="130"/>
        <v>-1327.5</v>
      </c>
      <c r="J115" s="469">
        <f t="shared" si="116"/>
        <v>4255</v>
      </c>
      <c r="K115" s="469">
        <f t="shared" si="116"/>
        <v>0</v>
      </c>
      <c r="L115" s="409">
        <f t="shared" si="117"/>
        <v>-4255</v>
      </c>
      <c r="M115" s="469">
        <f t="shared" si="118"/>
        <v>619.03966597077249</v>
      </c>
      <c r="N115" s="469">
        <f t="shared" si="118"/>
        <v>0</v>
      </c>
      <c r="O115" s="409">
        <f t="shared" si="119"/>
        <v>-619.03966597077249</v>
      </c>
      <c r="P115" s="469">
        <f t="shared" si="120"/>
        <v>35400</v>
      </c>
      <c r="Q115" s="470">
        <f t="shared" si="120"/>
        <v>0</v>
      </c>
      <c r="R115" s="411">
        <f t="shared" si="121"/>
        <v>-35400</v>
      </c>
      <c r="S115" s="469">
        <f t="shared" ref="S115:T115" si="152">S14*S24</f>
        <v>2950</v>
      </c>
      <c r="T115" s="469">
        <f t="shared" si="152"/>
        <v>0</v>
      </c>
      <c r="U115" s="409">
        <f t="shared" si="123"/>
        <v>-2950</v>
      </c>
      <c r="V115" s="469">
        <f t="shared" ref="V115:W115" si="153">V14*V24</f>
        <v>0</v>
      </c>
      <c r="W115" s="469">
        <f t="shared" si="153"/>
        <v>0</v>
      </c>
      <c r="X115" s="409">
        <f t="shared" si="125"/>
        <v>0</v>
      </c>
      <c r="Y115" s="469">
        <f t="shared" ref="Y115:Z115" si="154">Y14*Y24</f>
        <v>0</v>
      </c>
      <c r="Z115" s="470">
        <f t="shared" si="154"/>
        <v>0</v>
      </c>
      <c r="AA115" s="411">
        <f t="shared" si="127"/>
        <v>0</v>
      </c>
    </row>
    <row r="116" spans="1:28" ht="15.75" thickBot="1" x14ac:dyDescent="0.3">
      <c r="A116" s="741"/>
      <c r="B116" s="743"/>
      <c r="C116" s="471" t="s">
        <v>34</v>
      </c>
      <c r="D116" s="472">
        <f t="shared" si="128"/>
        <v>41601.539665970769</v>
      </c>
      <c r="E116" s="473">
        <f t="shared" si="106"/>
        <v>0</v>
      </c>
      <c r="F116" s="474">
        <f t="shared" si="129"/>
        <v>-41601.539665970769</v>
      </c>
      <c r="G116" s="475">
        <f t="shared" si="115"/>
        <v>1327.5</v>
      </c>
      <c r="H116" s="476">
        <f t="shared" si="115"/>
        <v>0</v>
      </c>
      <c r="I116" s="417">
        <f t="shared" si="130"/>
        <v>-1327.5</v>
      </c>
      <c r="J116" s="476">
        <f t="shared" si="116"/>
        <v>4255</v>
      </c>
      <c r="K116" s="476">
        <f t="shared" si="116"/>
        <v>0</v>
      </c>
      <c r="L116" s="417">
        <f t="shared" si="117"/>
        <v>-4255</v>
      </c>
      <c r="M116" s="476">
        <f t="shared" si="118"/>
        <v>619.03966597077249</v>
      </c>
      <c r="N116" s="476">
        <f t="shared" si="118"/>
        <v>0</v>
      </c>
      <c r="O116" s="417">
        <f t="shared" si="119"/>
        <v>-619.03966597077249</v>
      </c>
      <c r="P116" s="476">
        <f t="shared" si="120"/>
        <v>35400</v>
      </c>
      <c r="Q116" s="477">
        <f t="shared" si="120"/>
        <v>0</v>
      </c>
      <c r="R116" s="419">
        <f t="shared" si="121"/>
        <v>-35400</v>
      </c>
      <c r="S116" s="476">
        <f t="shared" ref="S116:T116" si="155">S15*S25</f>
        <v>2950</v>
      </c>
      <c r="T116" s="476">
        <f t="shared" si="155"/>
        <v>0</v>
      </c>
      <c r="U116" s="417">
        <f t="shared" si="123"/>
        <v>-2950</v>
      </c>
      <c r="V116" s="476">
        <f t="shared" ref="V116:W116" si="156">V15*V25</f>
        <v>0</v>
      </c>
      <c r="W116" s="476">
        <f t="shared" si="156"/>
        <v>0</v>
      </c>
      <c r="X116" s="417">
        <f t="shared" si="125"/>
        <v>0</v>
      </c>
      <c r="Y116" s="476">
        <f t="shared" ref="Y116:Z116" si="157">Y15*Y25</f>
        <v>0</v>
      </c>
      <c r="Z116" s="477">
        <f t="shared" si="157"/>
        <v>0</v>
      </c>
      <c r="AA116" s="419">
        <f t="shared" si="127"/>
        <v>0</v>
      </c>
    </row>
    <row r="117" spans="1:28" x14ac:dyDescent="0.25">
      <c r="A117" s="740" t="s">
        <v>192</v>
      </c>
      <c r="B117" s="742" t="s">
        <v>13</v>
      </c>
      <c r="C117" s="458" t="s">
        <v>25</v>
      </c>
      <c r="D117" s="459">
        <f>G117+J117+M117+P117</f>
        <v>0</v>
      </c>
      <c r="E117" s="460">
        <f>H117+K117+N117+Q117</f>
        <v>0</v>
      </c>
      <c r="F117" s="461">
        <f>I117+L117+O117+R117</f>
        <v>0</v>
      </c>
      <c r="G117" s="478">
        <f t="shared" ref="G117:H126" si="158">G6*G26</f>
        <v>0</v>
      </c>
      <c r="H117" s="479">
        <f t="shared" si="158"/>
        <v>0</v>
      </c>
      <c r="I117" s="399">
        <f>H117-G117</f>
        <v>0</v>
      </c>
      <c r="J117" s="479">
        <f t="shared" ref="J117:K126" si="159">J6*J26</f>
        <v>0</v>
      </c>
      <c r="K117" s="479">
        <f t="shared" si="159"/>
        <v>0</v>
      </c>
      <c r="L117" s="399">
        <f>K117-J117</f>
        <v>0</v>
      </c>
      <c r="M117" s="479">
        <f t="shared" ref="M117:N126" si="160">M6*M26</f>
        <v>0</v>
      </c>
      <c r="N117" s="479">
        <f t="shared" si="160"/>
        <v>0</v>
      </c>
      <c r="O117" s="399">
        <f>N117-M117</f>
        <v>0</v>
      </c>
      <c r="P117" s="479">
        <f t="shared" ref="P117:Q126" si="161">P6*P26</f>
        <v>0</v>
      </c>
      <c r="Q117" s="480">
        <f t="shared" si="161"/>
        <v>0</v>
      </c>
      <c r="R117" s="481">
        <f>Q117-P117</f>
        <v>0</v>
      </c>
      <c r="S117" s="479">
        <f t="shared" ref="S117:T117" si="162">S6*S26</f>
        <v>0</v>
      </c>
      <c r="T117" s="479">
        <f t="shared" si="162"/>
        <v>0</v>
      </c>
      <c r="U117" s="399">
        <f>T117-S117</f>
        <v>0</v>
      </c>
      <c r="V117" s="479">
        <f t="shared" ref="V117:W117" si="163">V6*V26</f>
        <v>0</v>
      </c>
      <c r="W117" s="479">
        <f t="shared" si="163"/>
        <v>0</v>
      </c>
      <c r="X117" s="399">
        <f>W117-V117</f>
        <v>0</v>
      </c>
      <c r="Y117" s="479">
        <f t="shared" ref="Y117:Z117" si="164">Y6*Y26</f>
        <v>0</v>
      </c>
      <c r="Z117" s="480">
        <f t="shared" si="164"/>
        <v>0</v>
      </c>
      <c r="AA117" s="481">
        <f>Z117-Y117</f>
        <v>0</v>
      </c>
    </row>
    <row r="118" spans="1:28" x14ac:dyDescent="0.25">
      <c r="A118" s="740"/>
      <c r="B118" s="742"/>
      <c r="C118" s="458" t="s">
        <v>26</v>
      </c>
      <c r="D118" s="459">
        <f t="shared" ref="D118:D126" si="165">G118+J118+M118+P118</f>
        <v>0</v>
      </c>
      <c r="E118" s="460">
        <f t="shared" ref="E118:E126" si="166">H118+K118+N118+Q118</f>
        <v>0</v>
      </c>
      <c r="F118" s="461">
        <f t="shared" ref="F118:F126" si="167">I118+L118+O118+R118</f>
        <v>0</v>
      </c>
      <c r="G118" s="468">
        <f t="shared" si="158"/>
        <v>0</v>
      </c>
      <c r="H118" s="469">
        <f t="shared" si="158"/>
        <v>0</v>
      </c>
      <c r="I118" s="409">
        <f t="shared" ref="I118:I126" si="168">H118-G118</f>
        <v>0</v>
      </c>
      <c r="J118" s="469">
        <f t="shared" si="159"/>
        <v>0</v>
      </c>
      <c r="K118" s="469">
        <f t="shared" si="159"/>
        <v>0</v>
      </c>
      <c r="L118" s="409">
        <f t="shared" ref="L118:L126" si="169">K118-J118</f>
        <v>0</v>
      </c>
      <c r="M118" s="469">
        <f t="shared" si="160"/>
        <v>0</v>
      </c>
      <c r="N118" s="469">
        <f t="shared" si="160"/>
        <v>0</v>
      </c>
      <c r="O118" s="409">
        <f t="shared" ref="O118:O126" si="170">N118-M118</f>
        <v>0</v>
      </c>
      <c r="P118" s="469">
        <f t="shared" si="161"/>
        <v>0</v>
      </c>
      <c r="Q118" s="470">
        <f t="shared" si="161"/>
        <v>0</v>
      </c>
      <c r="R118" s="411">
        <f t="shared" ref="R118:R126" si="171">Q118-P118</f>
        <v>0</v>
      </c>
      <c r="S118" s="469">
        <f t="shared" ref="S118:T118" si="172">S7*S27</f>
        <v>0</v>
      </c>
      <c r="T118" s="469">
        <f t="shared" si="172"/>
        <v>0</v>
      </c>
      <c r="U118" s="409">
        <f t="shared" ref="U118:U126" si="173">T118-S118</f>
        <v>0</v>
      </c>
      <c r="V118" s="469">
        <f t="shared" ref="V118:W118" si="174">V7*V27</f>
        <v>0</v>
      </c>
      <c r="W118" s="469">
        <f t="shared" si="174"/>
        <v>0</v>
      </c>
      <c r="X118" s="409">
        <f t="shared" ref="X118:X126" si="175">W118-V118</f>
        <v>0</v>
      </c>
      <c r="Y118" s="469">
        <f t="shared" ref="Y118:Z118" si="176">Y7*Y27</f>
        <v>0</v>
      </c>
      <c r="Z118" s="470">
        <f t="shared" si="176"/>
        <v>0</v>
      </c>
      <c r="AA118" s="411">
        <f t="shared" ref="AA118:AA126" si="177">Z118-Y118</f>
        <v>0</v>
      </c>
    </row>
    <row r="119" spans="1:28" x14ac:dyDescent="0.25">
      <c r="A119" s="740"/>
      <c r="B119" s="742"/>
      <c r="C119" s="458" t="s">
        <v>27</v>
      </c>
      <c r="D119" s="459">
        <f t="shared" si="165"/>
        <v>0</v>
      </c>
      <c r="E119" s="460">
        <f t="shared" si="166"/>
        <v>0</v>
      </c>
      <c r="F119" s="461">
        <f t="shared" si="167"/>
        <v>0</v>
      </c>
      <c r="G119" s="468">
        <f t="shared" si="158"/>
        <v>0</v>
      </c>
      <c r="H119" s="469">
        <f t="shared" si="158"/>
        <v>0</v>
      </c>
      <c r="I119" s="409">
        <f t="shared" si="168"/>
        <v>0</v>
      </c>
      <c r="J119" s="469">
        <f t="shared" si="159"/>
        <v>0</v>
      </c>
      <c r="K119" s="469">
        <f t="shared" si="159"/>
        <v>0</v>
      </c>
      <c r="L119" s="409">
        <f t="shared" si="169"/>
        <v>0</v>
      </c>
      <c r="M119" s="469">
        <f t="shared" si="160"/>
        <v>0</v>
      </c>
      <c r="N119" s="469">
        <f t="shared" si="160"/>
        <v>0</v>
      </c>
      <c r="O119" s="409">
        <f t="shared" si="170"/>
        <v>0</v>
      </c>
      <c r="P119" s="469">
        <f t="shared" si="161"/>
        <v>0</v>
      </c>
      <c r="Q119" s="470">
        <f t="shared" si="161"/>
        <v>0</v>
      </c>
      <c r="R119" s="411">
        <f t="shared" si="171"/>
        <v>0</v>
      </c>
      <c r="S119" s="469">
        <f t="shared" ref="S119:T119" si="178">S8*S28</f>
        <v>0</v>
      </c>
      <c r="T119" s="469">
        <f t="shared" si="178"/>
        <v>0</v>
      </c>
      <c r="U119" s="409">
        <f t="shared" si="173"/>
        <v>0</v>
      </c>
      <c r="V119" s="469">
        <f t="shared" ref="V119:W119" si="179">V8*V28</f>
        <v>0</v>
      </c>
      <c r="W119" s="469">
        <f t="shared" si="179"/>
        <v>0</v>
      </c>
      <c r="X119" s="409">
        <f t="shared" si="175"/>
        <v>0</v>
      </c>
      <c r="Y119" s="469">
        <f t="shared" ref="Y119:Z119" si="180">Y8*Y28</f>
        <v>0</v>
      </c>
      <c r="Z119" s="470">
        <f t="shared" si="180"/>
        <v>0</v>
      </c>
      <c r="AA119" s="411">
        <f t="shared" si="177"/>
        <v>0</v>
      </c>
    </row>
    <row r="120" spans="1:28" x14ac:dyDescent="0.25">
      <c r="A120" s="740"/>
      <c r="B120" s="742"/>
      <c r="C120" s="458" t="s">
        <v>28</v>
      </c>
      <c r="D120" s="459">
        <f t="shared" si="165"/>
        <v>0</v>
      </c>
      <c r="E120" s="460">
        <f t="shared" si="166"/>
        <v>0</v>
      </c>
      <c r="F120" s="461">
        <f t="shared" si="167"/>
        <v>0</v>
      </c>
      <c r="G120" s="468">
        <f t="shared" si="158"/>
        <v>0</v>
      </c>
      <c r="H120" s="469">
        <f t="shared" si="158"/>
        <v>0</v>
      </c>
      <c r="I120" s="409">
        <f t="shared" si="168"/>
        <v>0</v>
      </c>
      <c r="J120" s="469">
        <f t="shared" si="159"/>
        <v>0</v>
      </c>
      <c r="K120" s="469">
        <f t="shared" si="159"/>
        <v>0</v>
      </c>
      <c r="L120" s="409">
        <f t="shared" si="169"/>
        <v>0</v>
      </c>
      <c r="M120" s="469">
        <f t="shared" si="160"/>
        <v>0</v>
      </c>
      <c r="N120" s="469">
        <f t="shared" si="160"/>
        <v>0</v>
      </c>
      <c r="O120" s="409">
        <f t="shared" si="170"/>
        <v>0</v>
      </c>
      <c r="P120" s="469">
        <f t="shared" si="161"/>
        <v>0</v>
      </c>
      <c r="Q120" s="470">
        <f t="shared" si="161"/>
        <v>0</v>
      </c>
      <c r="R120" s="411">
        <f t="shared" si="171"/>
        <v>0</v>
      </c>
      <c r="S120" s="469">
        <f t="shared" ref="S120:T120" si="181">S9*S29</f>
        <v>0</v>
      </c>
      <c r="T120" s="469">
        <f t="shared" si="181"/>
        <v>0</v>
      </c>
      <c r="U120" s="409">
        <f t="shared" si="173"/>
        <v>0</v>
      </c>
      <c r="V120" s="469">
        <f t="shared" ref="V120:W120" si="182">V9*V29</f>
        <v>0</v>
      </c>
      <c r="W120" s="469">
        <f t="shared" si="182"/>
        <v>0</v>
      </c>
      <c r="X120" s="409">
        <f t="shared" si="175"/>
        <v>0</v>
      </c>
      <c r="Y120" s="469">
        <f t="shared" ref="Y120:Z120" si="183">Y9*Y29</f>
        <v>0</v>
      </c>
      <c r="Z120" s="470">
        <f t="shared" si="183"/>
        <v>0</v>
      </c>
      <c r="AA120" s="411">
        <f t="shared" si="177"/>
        <v>0</v>
      </c>
    </row>
    <row r="121" spans="1:28" x14ac:dyDescent="0.25">
      <c r="A121" s="740"/>
      <c r="B121" s="742"/>
      <c r="C121" s="458" t="s">
        <v>29</v>
      </c>
      <c r="D121" s="459">
        <f t="shared" si="165"/>
        <v>0</v>
      </c>
      <c r="E121" s="460">
        <f t="shared" si="166"/>
        <v>0</v>
      </c>
      <c r="F121" s="461">
        <f t="shared" si="167"/>
        <v>0</v>
      </c>
      <c r="G121" s="468">
        <f t="shared" si="158"/>
        <v>0</v>
      </c>
      <c r="H121" s="469">
        <f t="shared" si="158"/>
        <v>0</v>
      </c>
      <c r="I121" s="409">
        <f t="shared" si="168"/>
        <v>0</v>
      </c>
      <c r="J121" s="469">
        <f t="shared" si="159"/>
        <v>0</v>
      </c>
      <c r="K121" s="469">
        <f t="shared" si="159"/>
        <v>0</v>
      </c>
      <c r="L121" s="409">
        <f t="shared" si="169"/>
        <v>0</v>
      </c>
      <c r="M121" s="469">
        <f t="shared" si="160"/>
        <v>0</v>
      </c>
      <c r="N121" s="469">
        <f t="shared" si="160"/>
        <v>0</v>
      </c>
      <c r="O121" s="409">
        <f t="shared" si="170"/>
        <v>0</v>
      </c>
      <c r="P121" s="469">
        <f t="shared" si="161"/>
        <v>0</v>
      </c>
      <c r="Q121" s="470">
        <f t="shared" si="161"/>
        <v>0</v>
      </c>
      <c r="R121" s="411">
        <f t="shared" si="171"/>
        <v>0</v>
      </c>
      <c r="S121" s="469">
        <f t="shared" ref="S121:T121" si="184">S10*S30</f>
        <v>0</v>
      </c>
      <c r="T121" s="469">
        <f t="shared" si="184"/>
        <v>0</v>
      </c>
      <c r="U121" s="409">
        <f t="shared" si="173"/>
        <v>0</v>
      </c>
      <c r="V121" s="469">
        <f t="shared" ref="V121:W121" si="185">V10*V30</f>
        <v>0</v>
      </c>
      <c r="W121" s="469">
        <f t="shared" si="185"/>
        <v>0</v>
      </c>
      <c r="X121" s="409">
        <f t="shared" si="175"/>
        <v>0</v>
      </c>
      <c r="Y121" s="469">
        <f t="shared" ref="Y121:Z121" si="186">Y10*Y30</f>
        <v>0</v>
      </c>
      <c r="Z121" s="470">
        <f t="shared" si="186"/>
        <v>0</v>
      </c>
      <c r="AA121" s="411">
        <f t="shared" si="177"/>
        <v>0</v>
      </c>
    </row>
    <row r="122" spans="1:28" x14ac:dyDescent="0.25">
      <c r="A122" s="740"/>
      <c r="B122" s="742"/>
      <c r="C122" s="458" t="s">
        <v>30</v>
      </c>
      <c r="D122" s="459">
        <f t="shared" si="165"/>
        <v>0</v>
      </c>
      <c r="E122" s="460">
        <f t="shared" si="166"/>
        <v>0</v>
      </c>
      <c r="F122" s="461">
        <f t="shared" si="167"/>
        <v>0</v>
      </c>
      <c r="G122" s="468">
        <f t="shared" si="158"/>
        <v>0</v>
      </c>
      <c r="H122" s="469">
        <f t="shared" si="158"/>
        <v>0</v>
      </c>
      <c r="I122" s="409">
        <f t="shared" si="168"/>
        <v>0</v>
      </c>
      <c r="J122" s="469">
        <f t="shared" si="159"/>
        <v>0</v>
      </c>
      <c r="K122" s="469">
        <f t="shared" si="159"/>
        <v>0</v>
      </c>
      <c r="L122" s="409">
        <f t="shared" si="169"/>
        <v>0</v>
      </c>
      <c r="M122" s="469">
        <f t="shared" si="160"/>
        <v>0</v>
      </c>
      <c r="N122" s="469">
        <f t="shared" si="160"/>
        <v>0</v>
      </c>
      <c r="O122" s="409">
        <f t="shared" si="170"/>
        <v>0</v>
      </c>
      <c r="P122" s="469">
        <f t="shared" si="161"/>
        <v>0</v>
      </c>
      <c r="Q122" s="470">
        <f t="shared" si="161"/>
        <v>0</v>
      </c>
      <c r="R122" s="411">
        <f t="shared" si="171"/>
        <v>0</v>
      </c>
      <c r="S122" s="469">
        <f t="shared" ref="S122:T122" si="187">S11*S31</f>
        <v>0</v>
      </c>
      <c r="T122" s="469">
        <f t="shared" si="187"/>
        <v>0</v>
      </c>
      <c r="U122" s="409">
        <f t="shared" si="173"/>
        <v>0</v>
      </c>
      <c r="V122" s="469">
        <f t="shared" ref="V122:W122" si="188">V11*V31</f>
        <v>0</v>
      </c>
      <c r="W122" s="469">
        <f t="shared" si="188"/>
        <v>0</v>
      </c>
      <c r="X122" s="409">
        <f t="shared" si="175"/>
        <v>0</v>
      </c>
      <c r="Y122" s="469">
        <f t="shared" ref="Y122:Z122" si="189">Y11*Y31</f>
        <v>0</v>
      </c>
      <c r="Z122" s="470">
        <f t="shared" si="189"/>
        <v>0</v>
      </c>
      <c r="AA122" s="411">
        <f t="shared" si="177"/>
        <v>0</v>
      </c>
    </row>
    <row r="123" spans="1:28" x14ac:dyDescent="0.25">
      <c r="A123" s="740"/>
      <c r="B123" s="742"/>
      <c r="C123" s="458" t="s">
        <v>31</v>
      </c>
      <c r="D123" s="459">
        <f t="shared" si="165"/>
        <v>0</v>
      </c>
      <c r="E123" s="460">
        <f t="shared" si="166"/>
        <v>0</v>
      </c>
      <c r="F123" s="461">
        <f t="shared" si="167"/>
        <v>0</v>
      </c>
      <c r="G123" s="468">
        <f t="shared" si="158"/>
        <v>0</v>
      </c>
      <c r="H123" s="469">
        <f t="shared" si="158"/>
        <v>0</v>
      </c>
      <c r="I123" s="409">
        <f t="shared" si="168"/>
        <v>0</v>
      </c>
      <c r="J123" s="469">
        <f t="shared" si="159"/>
        <v>0</v>
      </c>
      <c r="K123" s="469">
        <f t="shared" si="159"/>
        <v>0</v>
      </c>
      <c r="L123" s="409">
        <f t="shared" si="169"/>
        <v>0</v>
      </c>
      <c r="M123" s="469">
        <f t="shared" si="160"/>
        <v>0</v>
      </c>
      <c r="N123" s="469">
        <f t="shared" si="160"/>
        <v>0</v>
      </c>
      <c r="O123" s="409">
        <f t="shared" si="170"/>
        <v>0</v>
      </c>
      <c r="P123" s="469">
        <f t="shared" si="161"/>
        <v>0</v>
      </c>
      <c r="Q123" s="470">
        <f t="shared" si="161"/>
        <v>0</v>
      </c>
      <c r="R123" s="411">
        <f t="shared" si="171"/>
        <v>0</v>
      </c>
      <c r="S123" s="469">
        <f t="shared" ref="S123:T123" si="190">S12*S32</f>
        <v>0</v>
      </c>
      <c r="T123" s="469">
        <f t="shared" si="190"/>
        <v>0</v>
      </c>
      <c r="U123" s="409">
        <f t="shared" si="173"/>
        <v>0</v>
      </c>
      <c r="V123" s="469">
        <f t="shared" ref="V123:W123" si="191">V12*V32</f>
        <v>0</v>
      </c>
      <c r="W123" s="469">
        <f t="shared" si="191"/>
        <v>0</v>
      </c>
      <c r="X123" s="409">
        <f t="shared" si="175"/>
        <v>0</v>
      </c>
      <c r="Y123" s="469">
        <f t="shared" ref="Y123:Z123" si="192">Y12*Y32</f>
        <v>0</v>
      </c>
      <c r="Z123" s="470">
        <f t="shared" si="192"/>
        <v>0</v>
      </c>
      <c r="AA123" s="411">
        <f t="shared" si="177"/>
        <v>0</v>
      </c>
    </row>
    <row r="124" spans="1:28" x14ac:dyDescent="0.25">
      <c r="A124" s="740"/>
      <c r="B124" s="742"/>
      <c r="C124" s="458" t="s">
        <v>32</v>
      </c>
      <c r="D124" s="459">
        <f t="shared" si="165"/>
        <v>0</v>
      </c>
      <c r="E124" s="460">
        <f t="shared" si="166"/>
        <v>0</v>
      </c>
      <c r="F124" s="461">
        <f t="shared" si="167"/>
        <v>0</v>
      </c>
      <c r="G124" s="468">
        <f t="shared" si="158"/>
        <v>0</v>
      </c>
      <c r="H124" s="469">
        <f t="shared" si="158"/>
        <v>0</v>
      </c>
      <c r="I124" s="409">
        <f t="shared" si="168"/>
        <v>0</v>
      </c>
      <c r="J124" s="469">
        <f t="shared" si="159"/>
        <v>0</v>
      </c>
      <c r="K124" s="469">
        <f t="shared" si="159"/>
        <v>0</v>
      </c>
      <c r="L124" s="409">
        <f t="shared" si="169"/>
        <v>0</v>
      </c>
      <c r="M124" s="469">
        <f t="shared" si="160"/>
        <v>0</v>
      </c>
      <c r="N124" s="469">
        <f t="shared" si="160"/>
        <v>0</v>
      </c>
      <c r="O124" s="409">
        <f t="shared" si="170"/>
        <v>0</v>
      </c>
      <c r="P124" s="469">
        <f t="shared" si="161"/>
        <v>0</v>
      </c>
      <c r="Q124" s="470">
        <f t="shared" si="161"/>
        <v>0</v>
      </c>
      <c r="R124" s="411">
        <f t="shared" si="171"/>
        <v>0</v>
      </c>
      <c r="S124" s="469">
        <f t="shared" ref="S124:T124" si="193">S13*S33</f>
        <v>0</v>
      </c>
      <c r="T124" s="469">
        <f t="shared" si="193"/>
        <v>0</v>
      </c>
      <c r="U124" s="409">
        <f t="shared" si="173"/>
        <v>0</v>
      </c>
      <c r="V124" s="469">
        <f t="shared" ref="V124:W124" si="194">V13*V33</f>
        <v>0</v>
      </c>
      <c r="W124" s="469">
        <f t="shared" si="194"/>
        <v>0</v>
      </c>
      <c r="X124" s="409">
        <f t="shared" si="175"/>
        <v>0</v>
      </c>
      <c r="Y124" s="469">
        <f t="shared" ref="Y124:Z124" si="195">Y13*Y33</f>
        <v>0</v>
      </c>
      <c r="Z124" s="470">
        <f t="shared" si="195"/>
        <v>0</v>
      </c>
      <c r="AA124" s="411">
        <f t="shared" si="177"/>
        <v>0</v>
      </c>
    </row>
    <row r="125" spans="1:28" x14ac:dyDescent="0.25">
      <c r="A125" s="740"/>
      <c r="B125" s="742"/>
      <c r="C125" s="458" t="s">
        <v>33</v>
      </c>
      <c r="D125" s="459">
        <f t="shared" si="165"/>
        <v>0</v>
      </c>
      <c r="E125" s="460">
        <f t="shared" si="166"/>
        <v>0</v>
      </c>
      <c r="F125" s="461">
        <f t="shared" si="167"/>
        <v>0</v>
      </c>
      <c r="G125" s="468">
        <f t="shared" si="158"/>
        <v>0</v>
      </c>
      <c r="H125" s="469">
        <f t="shared" si="158"/>
        <v>0</v>
      </c>
      <c r="I125" s="409">
        <f t="shared" si="168"/>
        <v>0</v>
      </c>
      <c r="J125" s="469">
        <f t="shared" si="159"/>
        <v>0</v>
      </c>
      <c r="K125" s="469">
        <f t="shared" si="159"/>
        <v>0</v>
      </c>
      <c r="L125" s="409">
        <f t="shared" si="169"/>
        <v>0</v>
      </c>
      <c r="M125" s="469">
        <f t="shared" si="160"/>
        <v>0</v>
      </c>
      <c r="N125" s="469">
        <f t="shared" si="160"/>
        <v>0</v>
      </c>
      <c r="O125" s="409">
        <f t="shared" si="170"/>
        <v>0</v>
      </c>
      <c r="P125" s="469">
        <f t="shared" si="161"/>
        <v>0</v>
      </c>
      <c r="Q125" s="470">
        <f t="shared" si="161"/>
        <v>0</v>
      </c>
      <c r="R125" s="411">
        <f t="shared" si="171"/>
        <v>0</v>
      </c>
      <c r="S125" s="469">
        <f t="shared" ref="S125:T125" si="196">S14*S34</f>
        <v>0</v>
      </c>
      <c r="T125" s="469">
        <f t="shared" si="196"/>
        <v>0</v>
      </c>
      <c r="U125" s="409">
        <f t="shared" si="173"/>
        <v>0</v>
      </c>
      <c r="V125" s="469">
        <f t="shared" ref="V125:W125" si="197">V14*V34</f>
        <v>0</v>
      </c>
      <c r="W125" s="469">
        <f t="shared" si="197"/>
        <v>0</v>
      </c>
      <c r="X125" s="409">
        <f t="shared" si="175"/>
        <v>0</v>
      </c>
      <c r="Y125" s="469">
        <f t="shared" ref="Y125:Z125" si="198">Y14*Y34</f>
        <v>0</v>
      </c>
      <c r="Z125" s="470">
        <f t="shared" si="198"/>
        <v>0</v>
      </c>
      <c r="AA125" s="411">
        <f t="shared" si="177"/>
        <v>0</v>
      </c>
    </row>
    <row r="126" spans="1:28" ht="15.75" thickBot="1" x14ac:dyDescent="0.3">
      <c r="A126" s="741"/>
      <c r="B126" s="743"/>
      <c r="C126" s="471" t="s">
        <v>34</v>
      </c>
      <c r="D126" s="472">
        <f t="shared" si="165"/>
        <v>0</v>
      </c>
      <c r="E126" s="473">
        <f t="shared" si="166"/>
        <v>0</v>
      </c>
      <c r="F126" s="474">
        <f t="shared" si="167"/>
        <v>0</v>
      </c>
      <c r="G126" s="475">
        <f t="shared" si="158"/>
        <v>0</v>
      </c>
      <c r="H126" s="476">
        <f t="shared" si="158"/>
        <v>0</v>
      </c>
      <c r="I126" s="417">
        <f t="shared" si="168"/>
        <v>0</v>
      </c>
      <c r="J126" s="476">
        <f t="shared" si="159"/>
        <v>0</v>
      </c>
      <c r="K126" s="476">
        <f t="shared" si="159"/>
        <v>0</v>
      </c>
      <c r="L126" s="417">
        <f t="shared" si="169"/>
        <v>0</v>
      </c>
      <c r="M126" s="476">
        <f t="shared" si="160"/>
        <v>0</v>
      </c>
      <c r="N126" s="476">
        <f t="shared" si="160"/>
        <v>0</v>
      </c>
      <c r="O126" s="417">
        <f t="shared" si="170"/>
        <v>0</v>
      </c>
      <c r="P126" s="476">
        <f t="shared" si="161"/>
        <v>0</v>
      </c>
      <c r="Q126" s="477">
        <f t="shared" si="161"/>
        <v>0</v>
      </c>
      <c r="R126" s="419">
        <f t="shared" si="171"/>
        <v>0</v>
      </c>
      <c r="S126" s="476">
        <f t="shared" ref="S126:T126" si="199">S15*S35</f>
        <v>0</v>
      </c>
      <c r="T126" s="476">
        <f t="shared" si="199"/>
        <v>0</v>
      </c>
      <c r="U126" s="417">
        <f t="shared" si="173"/>
        <v>0</v>
      </c>
      <c r="V126" s="476">
        <f t="shared" ref="V126:W126" si="200">V15*V35</f>
        <v>0</v>
      </c>
      <c r="W126" s="476">
        <f t="shared" si="200"/>
        <v>0</v>
      </c>
      <c r="X126" s="417">
        <f t="shared" si="175"/>
        <v>0</v>
      </c>
      <c r="Y126" s="476">
        <f t="shared" ref="Y126:Z126" si="201">Y15*Y35</f>
        <v>0</v>
      </c>
      <c r="Z126" s="477">
        <f t="shared" si="201"/>
        <v>0</v>
      </c>
      <c r="AA126" s="419">
        <f t="shared" si="177"/>
        <v>0</v>
      </c>
    </row>
    <row r="127" spans="1:28" x14ac:dyDescent="0.25">
      <c r="A127" s="740" t="s">
        <v>39</v>
      </c>
      <c r="B127" s="742" t="s">
        <v>13</v>
      </c>
      <c r="C127" s="458" t="s">
        <v>25</v>
      </c>
      <c r="D127" s="459">
        <f>G127+J127+M127+P127</f>
        <v>0</v>
      </c>
      <c r="E127" s="460">
        <f>H127+K127+N127+Q127</f>
        <v>0</v>
      </c>
      <c r="F127" s="461">
        <f>I127+L127+O127+R127</f>
        <v>0</v>
      </c>
      <c r="G127" s="478">
        <f>G56</f>
        <v>0</v>
      </c>
      <c r="H127" s="479">
        <f>H56*(1+$AB$127)</f>
        <v>0</v>
      </c>
      <c r="I127" s="399">
        <f>H127-G127</f>
        <v>0</v>
      </c>
      <c r="J127" s="479">
        <f t="shared" ref="J127:J136" si="202">J56</f>
        <v>0</v>
      </c>
      <c r="K127" s="479">
        <f t="shared" ref="K127:K136" si="203">K56*(1+$AB$127)</f>
        <v>0</v>
      </c>
      <c r="L127" s="399">
        <f>K127-J127</f>
        <v>0</v>
      </c>
      <c r="M127" s="479">
        <f t="shared" ref="M127:M136" si="204">M56</f>
        <v>0</v>
      </c>
      <c r="N127" s="479">
        <f t="shared" ref="N127:N136" si="205">N56*(1+$AB$127)</f>
        <v>0</v>
      </c>
      <c r="O127" s="399">
        <f>N127-M127</f>
        <v>0</v>
      </c>
      <c r="P127" s="479">
        <f t="shared" ref="P127:P136" si="206">P56</f>
        <v>0</v>
      </c>
      <c r="Q127" s="480">
        <f t="shared" ref="Q127:Q136" si="207">Q56*(1+$AB$127)</f>
        <v>0</v>
      </c>
      <c r="R127" s="481">
        <f>Q127-P127</f>
        <v>0</v>
      </c>
      <c r="S127" s="479">
        <f t="shared" ref="S127:S136" si="208">S56</f>
        <v>0</v>
      </c>
      <c r="T127" s="479">
        <f t="shared" ref="T127:T136" si="209">T56*(1+$AB$127)</f>
        <v>0</v>
      </c>
      <c r="U127" s="399">
        <f>T127-S127</f>
        <v>0</v>
      </c>
      <c r="V127" s="479">
        <f t="shared" ref="V127:V136" si="210">V56</f>
        <v>0</v>
      </c>
      <c r="W127" s="479">
        <f t="shared" ref="W127:W136" si="211">W56*(1+$AB$127)</f>
        <v>0</v>
      </c>
      <c r="X127" s="399">
        <f>W127-V127</f>
        <v>0</v>
      </c>
      <c r="Y127" s="479">
        <f t="shared" ref="Y127:Y136" si="212">Y56</f>
        <v>0</v>
      </c>
      <c r="Z127" s="480">
        <f t="shared" ref="Z127:Z136" si="213">Z56*(1+$AB$127)</f>
        <v>0</v>
      </c>
      <c r="AA127" s="481">
        <f>Z127-Y127</f>
        <v>0</v>
      </c>
      <c r="AB127" s="402">
        <f>'Analyza citlivosti - AgendovéIS'!H7</f>
        <v>0</v>
      </c>
    </row>
    <row r="128" spans="1:28" x14ac:dyDescent="0.25">
      <c r="A128" s="740"/>
      <c r="B128" s="742"/>
      <c r="C128" s="458" t="s">
        <v>26</v>
      </c>
      <c r="D128" s="459">
        <f t="shared" ref="D128:D136" si="214">G128+J128+M128+P128</f>
        <v>0</v>
      </c>
      <c r="E128" s="460">
        <f t="shared" ref="E128:E136" si="215">H128+K128+N128+Q128</f>
        <v>0</v>
      </c>
      <c r="F128" s="461">
        <f t="shared" ref="F128:F136" si="216">I128+L128+O128+R128</f>
        <v>0</v>
      </c>
      <c r="G128" s="468">
        <f t="shared" ref="G128:G136" si="217">G57</f>
        <v>0</v>
      </c>
      <c r="H128" s="469">
        <f t="shared" ref="H128:H136" si="218">H57*(1+$AB$127)</f>
        <v>0</v>
      </c>
      <c r="I128" s="409">
        <f t="shared" ref="I128:I136" si="219">H128-G128</f>
        <v>0</v>
      </c>
      <c r="J128" s="469">
        <f t="shared" si="202"/>
        <v>0</v>
      </c>
      <c r="K128" s="469">
        <f t="shared" si="203"/>
        <v>0</v>
      </c>
      <c r="L128" s="409">
        <f t="shared" ref="L128:L136" si="220">K128-J128</f>
        <v>0</v>
      </c>
      <c r="M128" s="469">
        <f t="shared" si="204"/>
        <v>0</v>
      </c>
      <c r="N128" s="469">
        <f t="shared" si="205"/>
        <v>0</v>
      </c>
      <c r="O128" s="409">
        <f t="shared" ref="O128:O136" si="221">N128-M128</f>
        <v>0</v>
      </c>
      <c r="P128" s="469">
        <f t="shared" si="206"/>
        <v>0</v>
      </c>
      <c r="Q128" s="470">
        <f t="shared" si="207"/>
        <v>0</v>
      </c>
      <c r="R128" s="411">
        <f t="shared" ref="R128:R136" si="222">Q128-P128</f>
        <v>0</v>
      </c>
      <c r="S128" s="469">
        <f t="shared" si="208"/>
        <v>0</v>
      </c>
      <c r="T128" s="469">
        <f t="shared" si="209"/>
        <v>0</v>
      </c>
      <c r="U128" s="409">
        <f t="shared" ref="U128:U136" si="223">T128-S128</f>
        <v>0</v>
      </c>
      <c r="V128" s="469">
        <f t="shared" si="210"/>
        <v>0</v>
      </c>
      <c r="W128" s="469">
        <f t="shared" si="211"/>
        <v>0</v>
      </c>
      <c r="X128" s="409">
        <f t="shared" ref="X128:X136" si="224">W128-V128</f>
        <v>0</v>
      </c>
      <c r="Y128" s="469">
        <f t="shared" si="212"/>
        <v>0</v>
      </c>
      <c r="Z128" s="470">
        <f t="shared" si="213"/>
        <v>0</v>
      </c>
      <c r="AA128" s="411">
        <f t="shared" ref="AA128:AA136" si="225">Z128-Y128</f>
        <v>0</v>
      </c>
    </row>
    <row r="129" spans="1:27" x14ac:dyDescent="0.25">
      <c r="A129" s="740"/>
      <c r="B129" s="742"/>
      <c r="C129" s="458" t="s">
        <v>27</v>
      </c>
      <c r="D129" s="459">
        <f t="shared" si="214"/>
        <v>0</v>
      </c>
      <c r="E129" s="460">
        <f t="shared" si="215"/>
        <v>0</v>
      </c>
      <c r="F129" s="461">
        <f t="shared" si="216"/>
        <v>0</v>
      </c>
      <c r="G129" s="468">
        <f t="shared" si="217"/>
        <v>0</v>
      </c>
      <c r="H129" s="469">
        <f t="shared" si="218"/>
        <v>0</v>
      </c>
      <c r="I129" s="409">
        <f t="shared" si="219"/>
        <v>0</v>
      </c>
      <c r="J129" s="469">
        <f t="shared" si="202"/>
        <v>0</v>
      </c>
      <c r="K129" s="469">
        <f t="shared" si="203"/>
        <v>0</v>
      </c>
      <c r="L129" s="409">
        <f t="shared" si="220"/>
        <v>0</v>
      </c>
      <c r="M129" s="469">
        <f t="shared" si="204"/>
        <v>0</v>
      </c>
      <c r="N129" s="469">
        <f t="shared" si="205"/>
        <v>0</v>
      </c>
      <c r="O129" s="409">
        <f t="shared" si="221"/>
        <v>0</v>
      </c>
      <c r="P129" s="469">
        <f t="shared" si="206"/>
        <v>0</v>
      </c>
      <c r="Q129" s="470">
        <f t="shared" si="207"/>
        <v>0</v>
      </c>
      <c r="R129" s="411">
        <f t="shared" si="222"/>
        <v>0</v>
      </c>
      <c r="S129" s="469">
        <f t="shared" si="208"/>
        <v>0</v>
      </c>
      <c r="T129" s="469">
        <f t="shared" si="209"/>
        <v>0</v>
      </c>
      <c r="U129" s="409">
        <f t="shared" si="223"/>
        <v>0</v>
      </c>
      <c r="V129" s="469">
        <f t="shared" si="210"/>
        <v>0</v>
      </c>
      <c r="W129" s="469">
        <f t="shared" si="211"/>
        <v>0</v>
      </c>
      <c r="X129" s="409">
        <f t="shared" si="224"/>
        <v>0</v>
      </c>
      <c r="Y129" s="469">
        <f t="shared" si="212"/>
        <v>0</v>
      </c>
      <c r="Z129" s="470">
        <f t="shared" si="213"/>
        <v>0</v>
      </c>
      <c r="AA129" s="411">
        <f t="shared" si="225"/>
        <v>0</v>
      </c>
    </row>
    <row r="130" spans="1:27" x14ac:dyDescent="0.25">
      <c r="A130" s="740"/>
      <c r="B130" s="742"/>
      <c r="C130" s="458" t="s">
        <v>28</v>
      </c>
      <c r="D130" s="459">
        <f t="shared" si="214"/>
        <v>0</v>
      </c>
      <c r="E130" s="460">
        <f t="shared" si="215"/>
        <v>0</v>
      </c>
      <c r="F130" s="461">
        <f t="shared" si="216"/>
        <v>0</v>
      </c>
      <c r="G130" s="468">
        <f t="shared" si="217"/>
        <v>0</v>
      </c>
      <c r="H130" s="469">
        <f t="shared" si="218"/>
        <v>0</v>
      </c>
      <c r="I130" s="409">
        <f t="shared" si="219"/>
        <v>0</v>
      </c>
      <c r="J130" s="469">
        <f t="shared" si="202"/>
        <v>0</v>
      </c>
      <c r="K130" s="469">
        <f t="shared" si="203"/>
        <v>0</v>
      </c>
      <c r="L130" s="409">
        <f t="shared" si="220"/>
        <v>0</v>
      </c>
      <c r="M130" s="469">
        <f t="shared" si="204"/>
        <v>0</v>
      </c>
      <c r="N130" s="469">
        <f t="shared" si="205"/>
        <v>0</v>
      </c>
      <c r="O130" s="409">
        <f t="shared" si="221"/>
        <v>0</v>
      </c>
      <c r="P130" s="469">
        <f t="shared" si="206"/>
        <v>0</v>
      </c>
      <c r="Q130" s="470">
        <f t="shared" si="207"/>
        <v>0</v>
      </c>
      <c r="R130" s="411">
        <f t="shared" si="222"/>
        <v>0</v>
      </c>
      <c r="S130" s="469">
        <f t="shared" si="208"/>
        <v>0</v>
      </c>
      <c r="T130" s="469">
        <f t="shared" si="209"/>
        <v>0</v>
      </c>
      <c r="U130" s="409">
        <f t="shared" si="223"/>
        <v>0</v>
      </c>
      <c r="V130" s="469">
        <f t="shared" si="210"/>
        <v>0</v>
      </c>
      <c r="W130" s="469">
        <f t="shared" si="211"/>
        <v>0</v>
      </c>
      <c r="X130" s="409">
        <f t="shared" si="224"/>
        <v>0</v>
      </c>
      <c r="Y130" s="469">
        <f t="shared" si="212"/>
        <v>0</v>
      </c>
      <c r="Z130" s="470">
        <f t="shared" si="213"/>
        <v>0</v>
      </c>
      <c r="AA130" s="411">
        <f t="shared" si="225"/>
        <v>0</v>
      </c>
    </row>
    <row r="131" spans="1:27" x14ac:dyDescent="0.25">
      <c r="A131" s="740"/>
      <c r="B131" s="742"/>
      <c r="C131" s="458" t="s">
        <v>29</v>
      </c>
      <c r="D131" s="459">
        <f t="shared" si="214"/>
        <v>0</v>
      </c>
      <c r="E131" s="460">
        <f t="shared" si="215"/>
        <v>0</v>
      </c>
      <c r="F131" s="461">
        <f t="shared" si="216"/>
        <v>0</v>
      </c>
      <c r="G131" s="468">
        <f t="shared" si="217"/>
        <v>0</v>
      </c>
      <c r="H131" s="469">
        <f t="shared" si="218"/>
        <v>0</v>
      </c>
      <c r="I131" s="409">
        <f t="shared" si="219"/>
        <v>0</v>
      </c>
      <c r="J131" s="469">
        <f t="shared" si="202"/>
        <v>0</v>
      </c>
      <c r="K131" s="469">
        <f t="shared" si="203"/>
        <v>0</v>
      </c>
      <c r="L131" s="409">
        <f t="shared" si="220"/>
        <v>0</v>
      </c>
      <c r="M131" s="469">
        <f t="shared" si="204"/>
        <v>0</v>
      </c>
      <c r="N131" s="469">
        <f t="shared" si="205"/>
        <v>0</v>
      </c>
      <c r="O131" s="409">
        <f t="shared" si="221"/>
        <v>0</v>
      </c>
      <c r="P131" s="469">
        <f t="shared" si="206"/>
        <v>0</v>
      </c>
      <c r="Q131" s="470">
        <f t="shared" si="207"/>
        <v>0</v>
      </c>
      <c r="R131" s="411">
        <f t="shared" si="222"/>
        <v>0</v>
      </c>
      <c r="S131" s="469">
        <f t="shared" si="208"/>
        <v>0</v>
      </c>
      <c r="T131" s="469">
        <f t="shared" si="209"/>
        <v>0</v>
      </c>
      <c r="U131" s="409">
        <f t="shared" si="223"/>
        <v>0</v>
      </c>
      <c r="V131" s="469">
        <f t="shared" si="210"/>
        <v>0</v>
      </c>
      <c r="W131" s="469">
        <f t="shared" si="211"/>
        <v>0</v>
      </c>
      <c r="X131" s="409">
        <f t="shared" si="224"/>
        <v>0</v>
      </c>
      <c r="Y131" s="469">
        <f t="shared" si="212"/>
        <v>0</v>
      </c>
      <c r="Z131" s="470">
        <f t="shared" si="213"/>
        <v>0</v>
      </c>
      <c r="AA131" s="411">
        <f t="shared" si="225"/>
        <v>0</v>
      </c>
    </row>
    <row r="132" spans="1:27" x14ac:dyDescent="0.25">
      <c r="A132" s="740"/>
      <c r="B132" s="742"/>
      <c r="C132" s="458" t="s">
        <v>30</v>
      </c>
      <c r="D132" s="459">
        <f t="shared" si="214"/>
        <v>0</v>
      </c>
      <c r="E132" s="460">
        <f t="shared" si="215"/>
        <v>0</v>
      </c>
      <c r="F132" s="461">
        <f t="shared" si="216"/>
        <v>0</v>
      </c>
      <c r="G132" s="468">
        <f t="shared" si="217"/>
        <v>0</v>
      </c>
      <c r="H132" s="469">
        <f t="shared" si="218"/>
        <v>0</v>
      </c>
      <c r="I132" s="409">
        <f t="shared" si="219"/>
        <v>0</v>
      </c>
      <c r="J132" s="469">
        <f t="shared" si="202"/>
        <v>0</v>
      </c>
      <c r="K132" s="469">
        <f t="shared" si="203"/>
        <v>0</v>
      </c>
      <c r="L132" s="409">
        <f t="shared" si="220"/>
        <v>0</v>
      </c>
      <c r="M132" s="469">
        <f t="shared" si="204"/>
        <v>0</v>
      </c>
      <c r="N132" s="469">
        <f t="shared" si="205"/>
        <v>0</v>
      </c>
      <c r="O132" s="409">
        <f t="shared" si="221"/>
        <v>0</v>
      </c>
      <c r="P132" s="469">
        <f t="shared" si="206"/>
        <v>0</v>
      </c>
      <c r="Q132" s="470">
        <f t="shared" si="207"/>
        <v>0</v>
      </c>
      <c r="R132" s="411">
        <f t="shared" si="222"/>
        <v>0</v>
      </c>
      <c r="S132" s="469">
        <f t="shared" si="208"/>
        <v>0</v>
      </c>
      <c r="T132" s="469">
        <f t="shared" si="209"/>
        <v>0</v>
      </c>
      <c r="U132" s="409">
        <f t="shared" si="223"/>
        <v>0</v>
      </c>
      <c r="V132" s="469">
        <f t="shared" si="210"/>
        <v>0</v>
      </c>
      <c r="W132" s="469">
        <f t="shared" si="211"/>
        <v>0</v>
      </c>
      <c r="X132" s="409">
        <f t="shared" si="224"/>
        <v>0</v>
      </c>
      <c r="Y132" s="469">
        <f t="shared" si="212"/>
        <v>0</v>
      </c>
      <c r="Z132" s="470">
        <f t="shared" si="213"/>
        <v>0</v>
      </c>
      <c r="AA132" s="411">
        <f t="shared" si="225"/>
        <v>0</v>
      </c>
    </row>
    <row r="133" spans="1:27" x14ac:dyDescent="0.25">
      <c r="A133" s="740"/>
      <c r="B133" s="742"/>
      <c r="C133" s="458" t="s">
        <v>31</v>
      </c>
      <c r="D133" s="459">
        <f t="shared" si="214"/>
        <v>0</v>
      </c>
      <c r="E133" s="460">
        <f t="shared" si="215"/>
        <v>0</v>
      </c>
      <c r="F133" s="461">
        <f t="shared" si="216"/>
        <v>0</v>
      </c>
      <c r="G133" s="468">
        <f t="shared" si="217"/>
        <v>0</v>
      </c>
      <c r="H133" s="469">
        <f t="shared" si="218"/>
        <v>0</v>
      </c>
      <c r="I133" s="409">
        <f t="shared" si="219"/>
        <v>0</v>
      </c>
      <c r="J133" s="469">
        <f t="shared" si="202"/>
        <v>0</v>
      </c>
      <c r="K133" s="469">
        <f t="shared" si="203"/>
        <v>0</v>
      </c>
      <c r="L133" s="409">
        <f t="shared" si="220"/>
        <v>0</v>
      </c>
      <c r="M133" s="469">
        <f t="shared" si="204"/>
        <v>0</v>
      </c>
      <c r="N133" s="469">
        <f t="shared" si="205"/>
        <v>0</v>
      </c>
      <c r="O133" s="409">
        <f t="shared" si="221"/>
        <v>0</v>
      </c>
      <c r="P133" s="469">
        <f t="shared" si="206"/>
        <v>0</v>
      </c>
      <c r="Q133" s="470">
        <f t="shared" si="207"/>
        <v>0</v>
      </c>
      <c r="R133" s="411">
        <f t="shared" si="222"/>
        <v>0</v>
      </c>
      <c r="S133" s="469">
        <f t="shared" si="208"/>
        <v>0</v>
      </c>
      <c r="T133" s="469">
        <f t="shared" si="209"/>
        <v>0</v>
      </c>
      <c r="U133" s="409">
        <f t="shared" si="223"/>
        <v>0</v>
      </c>
      <c r="V133" s="469">
        <f t="shared" si="210"/>
        <v>0</v>
      </c>
      <c r="W133" s="469">
        <f t="shared" si="211"/>
        <v>0</v>
      </c>
      <c r="X133" s="409">
        <f t="shared" si="224"/>
        <v>0</v>
      </c>
      <c r="Y133" s="469">
        <f t="shared" si="212"/>
        <v>0</v>
      </c>
      <c r="Z133" s="470">
        <f t="shared" si="213"/>
        <v>0</v>
      </c>
      <c r="AA133" s="411">
        <f t="shared" si="225"/>
        <v>0</v>
      </c>
    </row>
    <row r="134" spans="1:27" x14ac:dyDescent="0.25">
      <c r="A134" s="740"/>
      <c r="B134" s="742"/>
      <c r="C134" s="458" t="s">
        <v>32</v>
      </c>
      <c r="D134" s="459">
        <f t="shared" si="214"/>
        <v>0</v>
      </c>
      <c r="E134" s="460">
        <f t="shared" si="215"/>
        <v>0</v>
      </c>
      <c r="F134" s="461">
        <f t="shared" si="216"/>
        <v>0</v>
      </c>
      <c r="G134" s="468">
        <f t="shared" si="217"/>
        <v>0</v>
      </c>
      <c r="H134" s="469">
        <f t="shared" si="218"/>
        <v>0</v>
      </c>
      <c r="I134" s="409">
        <f t="shared" si="219"/>
        <v>0</v>
      </c>
      <c r="J134" s="469">
        <f t="shared" si="202"/>
        <v>0</v>
      </c>
      <c r="K134" s="469">
        <f t="shared" si="203"/>
        <v>0</v>
      </c>
      <c r="L134" s="409">
        <f t="shared" si="220"/>
        <v>0</v>
      </c>
      <c r="M134" s="469">
        <f t="shared" si="204"/>
        <v>0</v>
      </c>
      <c r="N134" s="469">
        <f t="shared" si="205"/>
        <v>0</v>
      </c>
      <c r="O134" s="409">
        <f t="shared" si="221"/>
        <v>0</v>
      </c>
      <c r="P134" s="469">
        <f t="shared" si="206"/>
        <v>0</v>
      </c>
      <c r="Q134" s="470">
        <f t="shared" si="207"/>
        <v>0</v>
      </c>
      <c r="R134" s="411">
        <f t="shared" si="222"/>
        <v>0</v>
      </c>
      <c r="S134" s="469">
        <f t="shared" si="208"/>
        <v>0</v>
      </c>
      <c r="T134" s="469">
        <f t="shared" si="209"/>
        <v>0</v>
      </c>
      <c r="U134" s="409">
        <f t="shared" si="223"/>
        <v>0</v>
      </c>
      <c r="V134" s="469">
        <f t="shared" si="210"/>
        <v>0</v>
      </c>
      <c r="W134" s="469">
        <f t="shared" si="211"/>
        <v>0</v>
      </c>
      <c r="X134" s="409">
        <f t="shared" si="224"/>
        <v>0</v>
      </c>
      <c r="Y134" s="469">
        <f t="shared" si="212"/>
        <v>0</v>
      </c>
      <c r="Z134" s="470">
        <f t="shared" si="213"/>
        <v>0</v>
      </c>
      <c r="AA134" s="411">
        <f t="shared" si="225"/>
        <v>0</v>
      </c>
    </row>
    <row r="135" spans="1:27" x14ac:dyDescent="0.25">
      <c r="A135" s="740"/>
      <c r="B135" s="742"/>
      <c r="C135" s="458" t="s">
        <v>33</v>
      </c>
      <c r="D135" s="459">
        <f t="shared" si="214"/>
        <v>0</v>
      </c>
      <c r="E135" s="460">
        <f t="shared" si="215"/>
        <v>0</v>
      </c>
      <c r="F135" s="461">
        <f t="shared" si="216"/>
        <v>0</v>
      </c>
      <c r="G135" s="468">
        <f t="shared" si="217"/>
        <v>0</v>
      </c>
      <c r="H135" s="469">
        <f t="shared" si="218"/>
        <v>0</v>
      </c>
      <c r="I135" s="409">
        <f t="shared" si="219"/>
        <v>0</v>
      </c>
      <c r="J135" s="469">
        <f t="shared" si="202"/>
        <v>0</v>
      </c>
      <c r="K135" s="469">
        <f t="shared" si="203"/>
        <v>0</v>
      </c>
      <c r="L135" s="409">
        <f t="shared" si="220"/>
        <v>0</v>
      </c>
      <c r="M135" s="469">
        <f t="shared" si="204"/>
        <v>0</v>
      </c>
      <c r="N135" s="469">
        <f t="shared" si="205"/>
        <v>0</v>
      </c>
      <c r="O135" s="409">
        <f t="shared" si="221"/>
        <v>0</v>
      </c>
      <c r="P135" s="469">
        <f t="shared" si="206"/>
        <v>0</v>
      </c>
      <c r="Q135" s="470">
        <f t="shared" si="207"/>
        <v>0</v>
      </c>
      <c r="R135" s="411">
        <f t="shared" si="222"/>
        <v>0</v>
      </c>
      <c r="S135" s="469">
        <f t="shared" si="208"/>
        <v>0</v>
      </c>
      <c r="T135" s="469">
        <f t="shared" si="209"/>
        <v>0</v>
      </c>
      <c r="U135" s="409">
        <f t="shared" si="223"/>
        <v>0</v>
      </c>
      <c r="V135" s="469">
        <f t="shared" si="210"/>
        <v>0</v>
      </c>
      <c r="W135" s="469">
        <f t="shared" si="211"/>
        <v>0</v>
      </c>
      <c r="X135" s="409">
        <f t="shared" si="224"/>
        <v>0</v>
      </c>
      <c r="Y135" s="469">
        <f t="shared" si="212"/>
        <v>0</v>
      </c>
      <c r="Z135" s="470">
        <f t="shared" si="213"/>
        <v>0</v>
      </c>
      <c r="AA135" s="411">
        <f t="shared" si="225"/>
        <v>0</v>
      </c>
    </row>
    <row r="136" spans="1:27" ht="15.75" thickBot="1" x14ac:dyDescent="0.3">
      <c r="A136" s="741"/>
      <c r="B136" s="743"/>
      <c r="C136" s="471" t="s">
        <v>34</v>
      </c>
      <c r="D136" s="472">
        <f t="shared" si="214"/>
        <v>0</v>
      </c>
      <c r="E136" s="473">
        <f t="shared" si="215"/>
        <v>0</v>
      </c>
      <c r="F136" s="474">
        <f t="shared" si="216"/>
        <v>0</v>
      </c>
      <c r="G136" s="475">
        <f t="shared" si="217"/>
        <v>0</v>
      </c>
      <c r="H136" s="476">
        <f t="shared" si="218"/>
        <v>0</v>
      </c>
      <c r="I136" s="417">
        <f t="shared" si="219"/>
        <v>0</v>
      </c>
      <c r="J136" s="476">
        <f t="shared" si="202"/>
        <v>0</v>
      </c>
      <c r="K136" s="476">
        <f t="shared" si="203"/>
        <v>0</v>
      </c>
      <c r="L136" s="417">
        <f t="shared" si="220"/>
        <v>0</v>
      </c>
      <c r="M136" s="476">
        <f t="shared" si="204"/>
        <v>0</v>
      </c>
      <c r="N136" s="476">
        <f t="shared" si="205"/>
        <v>0</v>
      </c>
      <c r="O136" s="417">
        <f t="shared" si="221"/>
        <v>0</v>
      </c>
      <c r="P136" s="476">
        <f t="shared" si="206"/>
        <v>0</v>
      </c>
      <c r="Q136" s="477">
        <f t="shared" si="207"/>
        <v>0</v>
      </c>
      <c r="R136" s="419">
        <f t="shared" si="222"/>
        <v>0</v>
      </c>
      <c r="S136" s="476">
        <f t="shared" si="208"/>
        <v>0</v>
      </c>
      <c r="T136" s="476">
        <f t="shared" si="209"/>
        <v>0</v>
      </c>
      <c r="U136" s="417">
        <f t="shared" si="223"/>
        <v>0</v>
      </c>
      <c r="V136" s="476">
        <f t="shared" si="210"/>
        <v>0</v>
      </c>
      <c r="W136" s="476">
        <f t="shared" si="211"/>
        <v>0</v>
      </c>
      <c r="X136" s="417">
        <f t="shared" si="224"/>
        <v>0</v>
      </c>
      <c r="Y136" s="476">
        <f t="shared" si="212"/>
        <v>0</v>
      </c>
      <c r="Z136" s="477">
        <f t="shared" si="213"/>
        <v>0</v>
      </c>
      <c r="AA136" s="419">
        <f t="shared" si="225"/>
        <v>0</v>
      </c>
    </row>
  </sheetData>
  <sheetProtection insertColumns="0" deleteColumns="0"/>
  <mergeCells count="55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  <mergeCell ref="S1:U1"/>
    <mergeCell ref="V1:X1"/>
    <mergeCell ref="Y1:AA1"/>
    <mergeCell ref="S2:U2"/>
    <mergeCell ref="V2:X2"/>
    <mergeCell ref="Y2:AA2"/>
    <mergeCell ref="S3:U3"/>
    <mergeCell ref="V3:X3"/>
    <mergeCell ref="Y3:AA3"/>
    <mergeCell ref="S4:U4"/>
    <mergeCell ref="V4:X4"/>
    <mergeCell ref="Y4:AA4"/>
  </mergeCells>
  <phoneticPr fontId="73" type="noConversion"/>
  <pageMargins left="0.7" right="0.7" top="0.75" bottom="0.75" header="0.3" footer="0.3"/>
  <pageSetup paperSize="9" scale="23" orientation="portrait" r:id="rId1"/>
  <colBreaks count="1" manualBreakCount="1"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zoomScale="60" zoomScaleNormal="85" workbookViewId="0">
      <selection activeCell="D11" sqref="D11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04" t="s">
        <v>102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75" x14ac:dyDescent="0.25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75" x14ac:dyDescent="0.25">
      <c r="A3" s="223" t="s">
        <v>198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 thickBot="1" x14ac:dyDescent="0.3">
      <c r="A5" s="93"/>
      <c r="B5" s="94"/>
      <c r="C5" s="88"/>
      <c r="D5" s="744" t="s">
        <v>103</v>
      </c>
      <c r="E5" s="744"/>
      <c r="F5" s="744"/>
      <c r="G5" s="744"/>
      <c r="H5" s="744"/>
      <c r="I5" s="744"/>
      <c r="J5" s="744"/>
      <c r="K5" s="744"/>
      <c r="L5" s="744"/>
      <c r="M5" s="744"/>
    </row>
    <row r="6" spans="1:13" x14ac:dyDescent="0.25">
      <c r="A6" s="220"/>
      <c r="B6" s="217" t="s">
        <v>173</v>
      </c>
      <c r="C6" s="98" t="s">
        <v>107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25">
      <c r="A7" s="221"/>
      <c r="B7" s="218" t="s">
        <v>110</v>
      </c>
      <c r="C7" s="99">
        <f t="shared" ref="C7:C14" si="0">SUM(D7:M7)</f>
        <v>0</v>
      </c>
      <c r="D7" s="115">
        <f>'TCO TO BE- SW'!$E5+'TCO TO BE- SW'!$E15</f>
        <v>0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25">
      <c r="A8" s="221"/>
      <c r="B8" s="218" t="s">
        <v>111</v>
      </c>
      <c r="C8" s="99">
        <f t="shared" si="0"/>
        <v>0</v>
      </c>
      <c r="D8" s="115">
        <f>'TCO TO BE- SW'!$E58+'TCO TO BE- SW'!$E68</f>
        <v>0</v>
      </c>
      <c r="E8" s="96">
        <f>'TCO TO BE- SW'!$E59+'TCO TO BE- SW'!$E69</f>
        <v>0</v>
      </c>
      <c r="F8" s="96">
        <f>'TCO TO BE- SW'!$E60+'TCO TO BE- SW'!$E70</f>
        <v>0</v>
      </c>
      <c r="G8" s="96">
        <f>'TCO TO BE- SW'!$E61+'TCO TO BE- SW'!$E71</f>
        <v>0</v>
      </c>
      <c r="H8" s="96">
        <f>'TCO TO BE- SW'!$E62+'TCO TO BE- SW'!$E72</f>
        <v>0</v>
      </c>
      <c r="I8" s="96">
        <f>'TCO TO BE- SW'!$E63+'TCO TO BE- SW'!$E73</f>
        <v>0</v>
      </c>
      <c r="J8" s="96">
        <f>'TCO TO BE- SW'!$E64+'TCO TO BE- SW'!$E74</f>
        <v>0</v>
      </c>
      <c r="K8" s="96">
        <f>'TCO TO BE- SW'!$E65+'TCO TO BE- SW'!$E75</f>
        <v>0</v>
      </c>
      <c r="L8" s="96">
        <f>'TCO TO BE- SW'!$E66+'TCO TO BE- SW'!$E76</f>
        <v>0</v>
      </c>
      <c r="M8" s="116">
        <f>'TCO TO BE- SW'!$E67+'TCO TO BE- SW'!$E77</f>
        <v>0</v>
      </c>
    </row>
    <row r="9" spans="1:13" x14ac:dyDescent="0.25">
      <c r="A9" s="221"/>
      <c r="B9" s="218" t="s">
        <v>112</v>
      </c>
      <c r="C9" s="99">
        <f t="shared" si="0"/>
        <v>2928203.68</v>
      </c>
      <c r="D9" s="115">
        <f>'TCO TO BE- SW'!$E26+'TCO TO BE- SW'!$E36+'TCO TO BE- SW'!$E46</f>
        <v>1028830.96</v>
      </c>
      <c r="E9" s="96">
        <f>'TCO TO BE- SW'!$E27+'TCO TO BE- SW'!$E37+'TCO TO BE- SW'!$E47</f>
        <v>1552662.06</v>
      </c>
      <c r="F9" s="96">
        <f>'TCO TO BE- SW'!$E28+'TCO TO BE- SW'!$E38+'TCO TO BE- SW'!$E48</f>
        <v>346710.66000000003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25">
      <c r="A10" s="221"/>
      <c r="B10" s="218" t="s">
        <v>113</v>
      </c>
      <c r="C10" s="99">
        <f t="shared" si="0"/>
        <v>980000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0</v>
      </c>
      <c r="F10" s="96">
        <f>'TCO TO BE- SW'!$E81+'TCO TO BE- SW'!$E91+'TCO TO BE- SW'!$E101+'TCO TO BE- SW'!$E111+'TCO TO BE- SW'!$E121</f>
        <v>0</v>
      </c>
      <c r="G10" s="96">
        <f>'TCO TO BE- SW'!$E82+'TCO TO BE- SW'!$E92+'TCO TO BE- SW'!$E102+'TCO TO BE- SW'!$E112+'TCO TO BE- SW'!$E122</f>
        <v>140000</v>
      </c>
      <c r="H10" s="96">
        <f>'TCO TO BE- SW'!$E83+'TCO TO BE- SW'!$E93+'TCO TO BE- SW'!$E103+'TCO TO BE- SW'!$E113+'TCO TO BE- SW'!$E123</f>
        <v>140000</v>
      </c>
      <c r="I10" s="96">
        <f>'TCO TO BE- SW'!$E84+'TCO TO BE- SW'!$E94+'TCO TO BE- SW'!$E104+'TCO TO BE- SW'!$E114+'TCO TO BE- SW'!$E124</f>
        <v>140000</v>
      </c>
      <c r="J10" s="96">
        <f>'TCO TO BE- SW'!$E85+'TCO TO BE- SW'!$E95+'TCO TO BE- SW'!$E105+'TCO TO BE- SW'!$E115+'TCO TO BE- SW'!$E125</f>
        <v>140000</v>
      </c>
      <c r="K10" s="96">
        <f>'TCO TO BE- SW'!$E86+'TCO TO BE- SW'!$E96+'TCO TO BE- SW'!$E106+'TCO TO BE- SW'!$E116+'TCO TO BE- SW'!$E126</f>
        <v>140000</v>
      </c>
      <c r="L10" s="96">
        <f>'TCO TO BE- SW'!$E87+'TCO TO BE- SW'!$E97+'TCO TO BE- SW'!$E107+'TCO TO BE- SW'!$E117+'TCO TO BE- SW'!$E127</f>
        <v>140000</v>
      </c>
      <c r="M10" s="116">
        <f>'TCO TO BE- SW'!$E88+'TCO TO BE- SW'!$E98+'TCO TO BE- SW'!$E108+'TCO TO BE- SW'!$E118+'TCO TO BE- SW'!$E128</f>
        <v>140000</v>
      </c>
    </row>
    <row r="11" spans="1:13" x14ac:dyDescent="0.25">
      <c r="A11" s="221"/>
      <c r="B11" s="218" t="s">
        <v>354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25">
      <c r="A12" s="221"/>
      <c r="B12" s="218" t="s">
        <v>104</v>
      </c>
      <c r="C12" s="99">
        <f t="shared" si="0"/>
        <v>0</v>
      </c>
      <c r="D12" s="115">
        <f>'TCO TO BE - HW'!$E4+'TCO TO BE - HW'!$E14+'TCO TO BE - HW'!$E24</f>
        <v>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25">
      <c r="A13" s="221"/>
      <c r="B13" s="218" t="s">
        <v>105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5.75" thickBot="1" x14ac:dyDescent="0.3">
      <c r="A14" s="221"/>
      <c r="B14" s="506" t="s">
        <v>320</v>
      </c>
      <c r="C14" s="507">
        <f t="shared" si="0"/>
        <v>200000.00000000003</v>
      </c>
      <c r="D14" s="509">
        <f>'TCO TO BE- SW'!E130+'TCO TO BE- SW'!E140</f>
        <v>50000.000000000007</v>
      </c>
      <c r="E14" s="510">
        <f>'TCO TO BE- SW'!E131+'TCO TO BE- SW'!E141</f>
        <v>100000.00000000001</v>
      </c>
      <c r="F14" s="510">
        <f>'TCO TO BE- SW'!E132+'TCO TO BE- SW'!E142</f>
        <v>50000.000000000007</v>
      </c>
      <c r="G14" s="510">
        <f>'TCO TO BE- SW'!E133+'TCO TO BE- SW'!E143</f>
        <v>0</v>
      </c>
      <c r="H14" s="510">
        <f>'TCO TO BE- SW'!E134+'TCO TO BE- SW'!E144</f>
        <v>0</v>
      </c>
      <c r="I14" s="510">
        <f>'TCO TO BE- SW'!E135+'TCO TO BE- SW'!E145</f>
        <v>0</v>
      </c>
      <c r="J14" s="510">
        <f>'TCO TO BE- SW'!E136+'TCO TO BE- SW'!E146</f>
        <v>0</v>
      </c>
      <c r="K14" s="510">
        <f>'TCO TO BE- SW'!E137+'TCO TO BE- SW'!E147</f>
        <v>0</v>
      </c>
      <c r="L14" s="510">
        <f>'TCO TO BE- SW'!E138+'TCO TO BE- SW'!E148</f>
        <v>0</v>
      </c>
      <c r="M14" s="511">
        <f>'TCO TO BE- SW'!E139+'TCO TO BE- SW'!E149</f>
        <v>0</v>
      </c>
    </row>
    <row r="15" spans="1:13" ht="15.75" thickBot="1" x14ac:dyDescent="0.3">
      <c r="A15" s="222"/>
      <c r="B15" s="219" t="s">
        <v>106</v>
      </c>
      <c r="C15" s="101">
        <f>SUM(C7:C14)</f>
        <v>4108203.68</v>
      </c>
      <c r="D15" s="97">
        <f>SUM(D7:D13)</f>
        <v>1028830.96</v>
      </c>
      <c r="E15" s="86">
        <f t="shared" ref="E15:M15" si="1">SUM(E7:E13)</f>
        <v>1552662.06</v>
      </c>
      <c r="F15" s="86">
        <f t="shared" si="1"/>
        <v>346710.66000000003</v>
      </c>
      <c r="G15" s="86">
        <f t="shared" si="1"/>
        <v>140000</v>
      </c>
      <c r="H15" s="86">
        <f t="shared" si="1"/>
        <v>140000</v>
      </c>
      <c r="I15" s="86">
        <f t="shared" si="1"/>
        <v>140000</v>
      </c>
      <c r="J15" s="86">
        <f t="shared" si="1"/>
        <v>140000</v>
      </c>
      <c r="K15" s="86">
        <f t="shared" si="1"/>
        <v>140000</v>
      </c>
      <c r="L15" s="103">
        <f t="shared" si="1"/>
        <v>140000</v>
      </c>
      <c r="M15" s="102">
        <f t="shared" si="1"/>
        <v>140000</v>
      </c>
    </row>
    <row r="16" spans="1:13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25">
      <c r="A18" s="745" t="s">
        <v>118</v>
      </c>
      <c r="B18" s="745"/>
      <c r="C18" s="745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.75" thickBot="1" x14ac:dyDescent="0.3">
      <c r="A20" s="93"/>
      <c r="B20" s="94"/>
      <c r="C20" s="88"/>
      <c r="D20" s="744" t="s">
        <v>103</v>
      </c>
      <c r="E20" s="744"/>
      <c r="F20" s="744"/>
      <c r="G20" s="744"/>
      <c r="H20" s="744"/>
      <c r="I20" s="744"/>
      <c r="J20" s="744"/>
      <c r="K20" s="744"/>
      <c r="L20" s="744"/>
      <c r="M20" s="744"/>
    </row>
    <row r="21" spans="1:13" ht="17.100000000000001" customHeight="1" x14ac:dyDescent="0.25">
      <c r="A21" s="220"/>
      <c r="B21" s="216" t="s">
        <v>234</v>
      </c>
      <c r="C21" s="98" t="s">
        <v>107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25">
      <c r="A22" s="221"/>
      <c r="B22" s="110" t="s">
        <v>110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25">
      <c r="A23" s="221"/>
      <c r="B23" s="110" t="s">
        <v>111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25">
      <c r="A24" s="221"/>
      <c r="B24" s="110" t="s">
        <v>112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25">
      <c r="A25" s="221"/>
      <c r="B25" s="110" t="s">
        <v>113</v>
      </c>
      <c r="C25" s="99">
        <f>SUM(D25:M25)</f>
        <v>2600000</v>
      </c>
      <c r="D25" s="115">
        <f>'TCO AS IS - SW'!E26+'TCO AS IS - SW'!E36+'TCO AS IS - SW'!E46+'TCO AS IS - SW'!E56+'TCO AS IS - SW'!E66</f>
        <v>260000</v>
      </c>
      <c r="E25" s="96">
        <f>'TCO AS IS - SW'!E27+'TCO AS IS - SW'!E37+'TCO AS IS - SW'!E47+'TCO AS IS - SW'!E57+'TCO AS IS - SW'!E67</f>
        <v>260000</v>
      </c>
      <c r="F25" s="96">
        <f>'TCO AS IS - SW'!E28+'TCO AS IS - SW'!E38+'TCO AS IS - SW'!E48+'TCO AS IS - SW'!E58+'TCO AS IS - SW'!E68</f>
        <v>260000</v>
      </c>
      <c r="G25" s="96">
        <f>'TCO AS IS - SW'!E29+'TCO AS IS - SW'!E39+'TCO AS IS - SW'!E49+'TCO AS IS - SW'!E59+'TCO AS IS - SW'!E69</f>
        <v>260000</v>
      </c>
      <c r="H25" s="96">
        <f>'TCO AS IS - SW'!E30+'TCO AS IS - SW'!E40+'TCO AS IS - SW'!E50+'TCO AS IS - SW'!E60+'TCO AS IS - SW'!E70</f>
        <v>260000</v>
      </c>
      <c r="I25" s="96">
        <f>'TCO AS IS - SW'!E31+'TCO AS IS - SW'!E41+'TCO AS IS - SW'!E51+'TCO AS IS - SW'!E61+'TCO AS IS - SW'!E71</f>
        <v>260000</v>
      </c>
      <c r="J25" s="96">
        <f>'TCO AS IS - SW'!E32+'TCO AS IS - SW'!E42+'TCO AS IS - SW'!E52+'TCO AS IS - SW'!E62+'TCO AS IS - SW'!E72</f>
        <v>260000</v>
      </c>
      <c r="K25" s="96">
        <f>'TCO AS IS - SW'!E33+'TCO AS IS - SW'!E43+'TCO AS IS - SW'!E53+'TCO AS IS - SW'!E63+'TCO AS IS - SW'!E73</f>
        <v>260000</v>
      </c>
      <c r="L25" s="96">
        <f>'TCO AS IS - SW'!E34+'TCO AS IS - SW'!E44+'TCO AS IS - SW'!E54+'TCO AS IS - SW'!E64+'TCO AS IS - SW'!E74</f>
        <v>260000</v>
      </c>
      <c r="M25" s="116">
        <f>'TCO AS IS - SW'!E35+'TCO AS IS - SW'!E45+'TCO AS IS - SW'!E55+'TCO AS IS - SW'!E65+'TCO AS IS - SW'!E75</f>
        <v>260000</v>
      </c>
    </row>
    <row r="26" spans="1:13" x14ac:dyDescent="0.25">
      <c r="A26" s="221"/>
      <c r="B26" s="110" t="s">
        <v>104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.75" thickBot="1" x14ac:dyDescent="0.3">
      <c r="A27" s="221"/>
      <c r="B27" s="111" t="s">
        <v>105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.75" thickBot="1" x14ac:dyDescent="0.3">
      <c r="A28" s="222"/>
      <c r="B28" s="95" t="s">
        <v>106</v>
      </c>
      <c r="C28" s="101">
        <f t="shared" ref="C28:M28" si="2">SUM(C22:C27)</f>
        <v>2600000</v>
      </c>
      <c r="D28" s="97">
        <f t="shared" si="2"/>
        <v>260000</v>
      </c>
      <c r="E28" s="86">
        <f t="shared" si="2"/>
        <v>260000</v>
      </c>
      <c r="F28" s="86">
        <f t="shared" si="2"/>
        <v>260000</v>
      </c>
      <c r="G28" s="86">
        <f t="shared" si="2"/>
        <v>260000</v>
      </c>
      <c r="H28" s="86">
        <f t="shared" si="2"/>
        <v>260000</v>
      </c>
      <c r="I28" s="86">
        <f t="shared" si="2"/>
        <v>260000</v>
      </c>
      <c r="J28" s="86">
        <f t="shared" si="2"/>
        <v>260000</v>
      </c>
      <c r="K28" s="86">
        <f t="shared" si="2"/>
        <v>260000</v>
      </c>
      <c r="L28" s="103">
        <f t="shared" si="2"/>
        <v>260000</v>
      </c>
      <c r="M28" s="102">
        <f t="shared" si="2"/>
        <v>260000</v>
      </c>
    </row>
    <row r="29" spans="1:13" x14ac:dyDescent="0.25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 x14ac:dyDescent="0.25">
      <c r="A32" s="745" t="s">
        <v>219</v>
      </c>
      <c r="B32" s="745"/>
      <c r="C32" s="745"/>
    </row>
    <row r="34" spans="1:13" ht="15.75" thickBot="1" x14ac:dyDescent="0.3"/>
    <row r="35" spans="1:13" x14ac:dyDescent="0.25">
      <c r="A35" s="220"/>
      <c r="B35" s="216" t="s">
        <v>161</v>
      </c>
      <c r="C35" s="163" t="s">
        <v>107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 x14ac:dyDescent="0.25">
      <c r="A36" s="221"/>
      <c r="B36" s="167" t="s">
        <v>110</v>
      </c>
      <c r="C36" s="168">
        <f>SUM(D36:M36)</f>
        <v>0</v>
      </c>
      <c r="D36" s="169">
        <f t="shared" ref="D36:M36" si="3">D7-D22</f>
        <v>0</v>
      </c>
      <c r="E36" s="170">
        <f t="shared" si="3"/>
        <v>0</v>
      </c>
      <c r="F36" s="170">
        <f t="shared" si="3"/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 t="shared" si="3"/>
        <v>0</v>
      </c>
      <c r="M36" s="180">
        <f t="shared" si="3"/>
        <v>0</v>
      </c>
    </row>
    <row r="37" spans="1:13" x14ac:dyDescent="0.25">
      <c r="A37" s="221"/>
      <c r="B37" s="172" t="s">
        <v>111</v>
      </c>
      <c r="C37" s="168">
        <f t="shared" ref="C37:C43" si="4">SUM(D37:M37)</f>
        <v>0</v>
      </c>
      <c r="D37" s="169">
        <f t="shared" ref="D37:M37" si="5">D8-D23</f>
        <v>0</v>
      </c>
      <c r="E37" s="170">
        <f t="shared" si="5"/>
        <v>0</v>
      </c>
      <c r="F37" s="170">
        <f t="shared" si="5"/>
        <v>0</v>
      </c>
      <c r="G37" s="170">
        <f t="shared" si="5"/>
        <v>0</v>
      </c>
      <c r="H37" s="170">
        <f t="shared" si="5"/>
        <v>0</v>
      </c>
      <c r="I37" s="170">
        <f t="shared" si="5"/>
        <v>0</v>
      </c>
      <c r="J37" s="170">
        <f t="shared" si="5"/>
        <v>0</v>
      </c>
      <c r="K37" s="170">
        <f t="shared" si="5"/>
        <v>0</v>
      </c>
      <c r="L37" s="181">
        <f t="shared" si="5"/>
        <v>0</v>
      </c>
      <c r="M37" s="171">
        <f t="shared" si="5"/>
        <v>0</v>
      </c>
    </row>
    <row r="38" spans="1:13" x14ac:dyDescent="0.25">
      <c r="A38" s="221"/>
      <c r="B38" s="167" t="s">
        <v>112</v>
      </c>
      <c r="C38" s="168">
        <f t="shared" si="4"/>
        <v>2928203.68</v>
      </c>
      <c r="D38" s="169">
        <f t="shared" ref="D38:M38" si="6">D9-D24</f>
        <v>1028830.96</v>
      </c>
      <c r="E38" s="170">
        <f t="shared" si="6"/>
        <v>1552662.06</v>
      </c>
      <c r="F38" s="170">
        <f t="shared" si="6"/>
        <v>346710.66000000003</v>
      </c>
      <c r="G38" s="170">
        <f t="shared" si="6"/>
        <v>0</v>
      </c>
      <c r="H38" s="170">
        <f t="shared" si="6"/>
        <v>0</v>
      </c>
      <c r="I38" s="170">
        <f t="shared" si="6"/>
        <v>0</v>
      </c>
      <c r="J38" s="170">
        <f t="shared" si="6"/>
        <v>0</v>
      </c>
      <c r="K38" s="170">
        <f t="shared" si="6"/>
        <v>0</v>
      </c>
      <c r="L38" s="181">
        <f t="shared" si="6"/>
        <v>0</v>
      </c>
      <c r="M38" s="171">
        <f t="shared" si="6"/>
        <v>0</v>
      </c>
    </row>
    <row r="39" spans="1:13" x14ac:dyDescent="0.25">
      <c r="A39" s="221"/>
      <c r="B39" s="110" t="s">
        <v>113</v>
      </c>
      <c r="C39" s="168">
        <f t="shared" si="4"/>
        <v>-1620000</v>
      </c>
      <c r="D39" s="169">
        <f t="shared" ref="D39:M39" si="7">D10-D25</f>
        <v>-260000</v>
      </c>
      <c r="E39" s="170">
        <f t="shared" si="7"/>
        <v>-260000</v>
      </c>
      <c r="F39" s="170">
        <f t="shared" si="7"/>
        <v>-260000</v>
      </c>
      <c r="G39" s="170">
        <f t="shared" si="7"/>
        <v>-120000</v>
      </c>
      <c r="H39" s="170">
        <f t="shared" si="7"/>
        <v>-120000</v>
      </c>
      <c r="I39" s="170">
        <f t="shared" si="7"/>
        <v>-120000</v>
      </c>
      <c r="J39" s="170">
        <f t="shared" si="7"/>
        <v>-120000</v>
      </c>
      <c r="K39" s="170">
        <f t="shared" si="7"/>
        <v>-120000</v>
      </c>
      <c r="L39" s="181">
        <f t="shared" si="7"/>
        <v>-120000</v>
      </c>
      <c r="M39" s="171">
        <f t="shared" si="7"/>
        <v>-120000</v>
      </c>
    </row>
    <row r="40" spans="1:13" x14ac:dyDescent="0.25">
      <c r="A40" s="221"/>
      <c r="B40" s="110" t="s">
        <v>354</v>
      </c>
      <c r="C40" s="168">
        <f t="shared" si="4"/>
        <v>0</v>
      </c>
      <c r="D40" s="169">
        <f t="shared" ref="D40:M40" si="8">D11</f>
        <v>0</v>
      </c>
      <c r="E40" s="170">
        <f t="shared" si="8"/>
        <v>0</v>
      </c>
      <c r="F40" s="170">
        <f t="shared" si="8"/>
        <v>0</v>
      </c>
      <c r="G40" s="170">
        <f t="shared" si="8"/>
        <v>0</v>
      </c>
      <c r="H40" s="170">
        <f t="shared" si="8"/>
        <v>0</v>
      </c>
      <c r="I40" s="170">
        <f t="shared" si="8"/>
        <v>0</v>
      </c>
      <c r="J40" s="170">
        <f t="shared" si="8"/>
        <v>0</v>
      </c>
      <c r="K40" s="170">
        <f t="shared" si="8"/>
        <v>0</v>
      </c>
      <c r="L40" s="181">
        <f t="shared" si="8"/>
        <v>0</v>
      </c>
      <c r="M40" s="171">
        <f t="shared" si="8"/>
        <v>0</v>
      </c>
    </row>
    <row r="41" spans="1:13" x14ac:dyDescent="0.25">
      <c r="A41" s="221"/>
      <c r="B41" s="110" t="s">
        <v>163</v>
      </c>
      <c r="C41" s="168">
        <f t="shared" si="4"/>
        <v>0</v>
      </c>
      <c r="D41" s="169">
        <f t="shared" ref="D41:M41" si="9">D12-D26</f>
        <v>0</v>
      </c>
      <c r="E41" s="170">
        <f t="shared" si="9"/>
        <v>0</v>
      </c>
      <c r="F41" s="170">
        <f t="shared" si="9"/>
        <v>0</v>
      </c>
      <c r="G41" s="170">
        <f t="shared" si="9"/>
        <v>0</v>
      </c>
      <c r="H41" s="170">
        <f t="shared" si="9"/>
        <v>0</v>
      </c>
      <c r="I41" s="170">
        <f t="shared" si="9"/>
        <v>0</v>
      </c>
      <c r="J41" s="170">
        <f t="shared" si="9"/>
        <v>0</v>
      </c>
      <c r="K41" s="170">
        <f t="shared" si="9"/>
        <v>0</v>
      </c>
      <c r="L41" s="181">
        <f t="shared" si="9"/>
        <v>0</v>
      </c>
      <c r="M41" s="171">
        <f t="shared" si="9"/>
        <v>0</v>
      </c>
    </row>
    <row r="42" spans="1:13" x14ac:dyDescent="0.25">
      <c r="A42" s="221"/>
      <c r="B42" s="173" t="s">
        <v>164</v>
      </c>
      <c r="C42" s="174">
        <f t="shared" si="4"/>
        <v>0</v>
      </c>
      <c r="D42" s="169">
        <f t="shared" ref="D42:M42" si="10">D13-D27</f>
        <v>0</v>
      </c>
      <c r="E42" s="170">
        <f t="shared" si="10"/>
        <v>0</v>
      </c>
      <c r="F42" s="170">
        <f t="shared" si="10"/>
        <v>0</v>
      </c>
      <c r="G42" s="170">
        <f t="shared" si="10"/>
        <v>0</v>
      </c>
      <c r="H42" s="170">
        <f t="shared" si="10"/>
        <v>0</v>
      </c>
      <c r="I42" s="170">
        <f t="shared" si="10"/>
        <v>0</v>
      </c>
      <c r="J42" s="170">
        <f t="shared" si="10"/>
        <v>0</v>
      </c>
      <c r="K42" s="170">
        <f t="shared" si="10"/>
        <v>0</v>
      </c>
      <c r="L42" s="181">
        <f t="shared" si="10"/>
        <v>0</v>
      </c>
      <c r="M42" s="171">
        <f t="shared" si="10"/>
        <v>0</v>
      </c>
    </row>
    <row r="43" spans="1:13" ht="15.75" thickBot="1" x14ac:dyDescent="0.3">
      <c r="A43" s="221"/>
      <c r="B43" s="110" t="s">
        <v>320</v>
      </c>
      <c r="C43" s="168">
        <f t="shared" si="4"/>
        <v>200000.00000000003</v>
      </c>
      <c r="D43" s="169">
        <f t="shared" ref="D43:M43" si="11">D14</f>
        <v>50000.000000000007</v>
      </c>
      <c r="E43" s="170">
        <f t="shared" si="11"/>
        <v>100000.00000000001</v>
      </c>
      <c r="F43" s="170">
        <f t="shared" si="11"/>
        <v>50000.000000000007</v>
      </c>
      <c r="G43" s="170">
        <f t="shared" si="11"/>
        <v>0</v>
      </c>
      <c r="H43" s="170">
        <f t="shared" si="11"/>
        <v>0</v>
      </c>
      <c r="I43" s="170">
        <f t="shared" si="11"/>
        <v>0</v>
      </c>
      <c r="J43" s="170">
        <f t="shared" si="11"/>
        <v>0</v>
      </c>
      <c r="K43" s="170">
        <f t="shared" si="11"/>
        <v>0</v>
      </c>
      <c r="L43" s="181">
        <f t="shared" si="11"/>
        <v>0</v>
      </c>
      <c r="M43" s="171">
        <f t="shared" si="11"/>
        <v>0</v>
      </c>
    </row>
    <row r="44" spans="1:13" ht="15.75" thickBot="1" x14ac:dyDescent="0.3">
      <c r="A44" s="222"/>
      <c r="B44" s="95" t="s">
        <v>106</v>
      </c>
      <c r="C44" s="175">
        <f>SUM(D44:M44)</f>
        <v>1358203.6800000002</v>
      </c>
      <c r="D44" s="176">
        <f>SUM(D36:D43)</f>
        <v>818830.96</v>
      </c>
      <c r="E44" s="177">
        <f t="shared" ref="E44:M44" si="12">SUM(E36:E42)</f>
        <v>1292662.06</v>
      </c>
      <c r="F44" s="177">
        <f t="shared" si="12"/>
        <v>86710.660000000033</v>
      </c>
      <c r="G44" s="177">
        <f t="shared" si="12"/>
        <v>-120000</v>
      </c>
      <c r="H44" s="177">
        <f t="shared" si="12"/>
        <v>-120000</v>
      </c>
      <c r="I44" s="177">
        <f t="shared" si="12"/>
        <v>-120000</v>
      </c>
      <c r="J44" s="177">
        <f t="shared" si="12"/>
        <v>-120000</v>
      </c>
      <c r="K44" s="177">
        <f t="shared" si="12"/>
        <v>-120000</v>
      </c>
      <c r="L44" s="178">
        <f t="shared" si="12"/>
        <v>-120000</v>
      </c>
      <c r="M44" s="179">
        <f t="shared" si="12"/>
        <v>-120000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topLeftCell="A7" zoomScale="60" zoomScaleNormal="85" workbookViewId="0">
      <selection activeCell="E46" sqref="E46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6" t="s">
        <v>101</v>
      </c>
      <c r="B1" s="746"/>
      <c r="C1" s="746"/>
      <c r="D1" s="747"/>
      <c r="E1" s="71" t="s">
        <v>35</v>
      </c>
    </row>
    <row r="2" spans="1:5" ht="15.75" collapsed="1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5.75" thickBot="1" x14ac:dyDescent="0.3">
      <c r="A3" s="748" t="s">
        <v>81</v>
      </c>
      <c r="B3" s="749"/>
      <c r="C3" s="749"/>
      <c r="D3" s="82"/>
      <c r="E3" s="78">
        <f>E4+E25</f>
        <v>2600000</v>
      </c>
    </row>
    <row r="4" spans="1:5" ht="15.75" outlineLevel="1" thickBot="1" x14ac:dyDescent="0.3">
      <c r="A4" s="17" t="s">
        <v>108</v>
      </c>
      <c r="B4" s="17"/>
      <c r="C4" s="17"/>
      <c r="D4" s="28"/>
      <c r="E4" s="138">
        <f>SUM(E5:E24)</f>
        <v>0</v>
      </c>
    </row>
    <row r="5" spans="1:5" outlineLevel="2" x14ac:dyDescent="0.25">
      <c r="A5" s="750" t="s">
        <v>82</v>
      </c>
      <c r="B5" s="751" t="s">
        <v>83</v>
      </c>
      <c r="C5" s="751">
        <v>635009</v>
      </c>
      <c r="D5" s="68" t="s">
        <v>25</v>
      </c>
      <c r="E5" s="65">
        <v>0</v>
      </c>
    </row>
    <row r="6" spans="1:5" outlineLevel="2" x14ac:dyDescent="0.25">
      <c r="A6" s="750"/>
      <c r="B6" s="751"/>
      <c r="C6" s="751"/>
      <c r="D6" s="69" t="s">
        <v>26</v>
      </c>
      <c r="E6" s="66">
        <v>0</v>
      </c>
    </row>
    <row r="7" spans="1:5" outlineLevel="2" x14ac:dyDescent="0.25">
      <c r="A7" s="750"/>
      <c r="B7" s="751"/>
      <c r="C7" s="751"/>
      <c r="D7" s="69" t="s">
        <v>27</v>
      </c>
      <c r="E7" s="66">
        <v>0</v>
      </c>
    </row>
    <row r="8" spans="1:5" outlineLevel="2" x14ac:dyDescent="0.25">
      <c r="A8" s="750"/>
      <c r="B8" s="751"/>
      <c r="C8" s="751"/>
      <c r="D8" s="69" t="s">
        <v>28</v>
      </c>
      <c r="E8" s="66">
        <v>0</v>
      </c>
    </row>
    <row r="9" spans="1:5" outlineLevel="2" x14ac:dyDescent="0.25">
      <c r="A9" s="750"/>
      <c r="B9" s="751"/>
      <c r="C9" s="751"/>
      <c r="D9" s="69" t="s">
        <v>29</v>
      </c>
      <c r="E9" s="66">
        <v>0</v>
      </c>
    </row>
    <row r="10" spans="1:5" outlineLevel="2" x14ac:dyDescent="0.25">
      <c r="A10" s="750"/>
      <c r="B10" s="751"/>
      <c r="C10" s="751"/>
      <c r="D10" s="69" t="s">
        <v>30</v>
      </c>
      <c r="E10" s="66">
        <v>0</v>
      </c>
    </row>
    <row r="11" spans="1:5" outlineLevel="2" x14ac:dyDescent="0.25">
      <c r="A11" s="750"/>
      <c r="B11" s="751"/>
      <c r="C11" s="751"/>
      <c r="D11" s="69" t="s">
        <v>31</v>
      </c>
      <c r="E11" s="66">
        <v>0</v>
      </c>
    </row>
    <row r="12" spans="1:5" outlineLevel="2" x14ac:dyDescent="0.25">
      <c r="A12" s="750"/>
      <c r="B12" s="751"/>
      <c r="C12" s="751"/>
      <c r="D12" s="69" t="s">
        <v>32</v>
      </c>
      <c r="E12" s="66">
        <v>0</v>
      </c>
    </row>
    <row r="13" spans="1:5" outlineLevel="2" x14ac:dyDescent="0.25">
      <c r="A13" s="750"/>
      <c r="B13" s="751"/>
      <c r="C13" s="751"/>
      <c r="D13" s="69" t="s">
        <v>33</v>
      </c>
      <c r="E13" s="66">
        <v>0</v>
      </c>
    </row>
    <row r="14" spans="1:5" ht="15.75" outlineLevel="2" thickBot="1" x14ac:dyDescent="0.3">
      <c r="A14" s="750"/>
      <c r="B14" s="751"/>
      <c r="C14" s="751"/>
      <c r="D14" s="70" t="s">
        <v>34</v>
      </c>
      <c r="E14" s="67">
        <v>0</v>
      </c>
    </row>
    <row r="15" spans="1:5" outlineLevel="2" x14ac:dyDescent="0.25">
      <c r="A15" s="750" t="s">
        <v>84</v>
      </c>
      <c r="B15" s="751" t="s">
        <v>75</v>
      </c>
      <c r="C15" s="751">
        <v>718006</v>
      </c>
      <c r="D15" s="68" t="s">
        <v>25</v>
      </c>
      <c r="E15" s="66">
        <v>0</v>
      </c>
    </row>
    <row r="16" spans="1:5" outlineLevel="2" x14ac:dyDescent="0.25">
      <c r="A16" s="750"/>
      <c r="B16" s="751"/>
      <c r="C16" s="751"/>
      <c r="D16" s="69" t="s">
        <v>26</v>
      </c>
      <c r="E16" s="66">
        <v>0</v>
      </c>
    </row>
    <row r="17" spans="1:5" outlineLevel="2" x14ac:dyDescent="0.25">
      <c r="A17" s="750"/>
      <c r="B17" s="751"/>
      <c r="C17" s="751"/>
      <c r="D17" s="69" t="s">
        <v>27</v>
      </c>
      <c r="E17" s="66">
        <v>0</v>
      </c>
    </row>
    <row r="18" spans="1:5" outlineLevel="2" x14ac:dyDescent="0.25">
      <c r="A18" s="750"/>
      <c r="B18" s="751"/>
      <c r="C18" s="751"/>
      <c r="D18" s="69" t="s">
        <v>28</v>
      </c>
      <c r="E18" s="66">
        <v>0</v>
      </c>
    </row>
    <row r="19" spans="1:5" outlineLevel="2" x14ac:dyDescent="0.25">
      <c r="A19" s="750"/>
      <c r="B19" s="751"/>
      <c r="C19" s="751"/>
      <c r="D19" s="69" t="s">
        <v>29</v>
      </c>
      <c r="E19" s="66">
        <v>0</v>
      </c>
    </row>
    <row r="20" spans="1:5" outlineLevel="2" x14ac:dyDescent="0.25">
      <c r="A20" s="750"/>
      <c r="B20" s="751"/>
      <c r="C20" s="751"/>
      <c r="D20" s="69" t="s">
        <v>30</v>
      </c>
      <c r="E20" s="66">
        <v>0</v>
      </c>
    </row>
    <row r="21" spans="1:5" outlineLevel="2" x14ac:dyDescent="0.25">
      <c r="A21" s="750"/>
      <c r="B21" s="751"/>
      <c r="C21" s="751"/>
      <c r="D21" s="69" t="s">
        <v>31</v>
      </c>
      <c r="E21" s="66">
        <v>0</v>
      </c>
    </row>
    <row r="22" spans="1:5" outlineLevel="2" x14ac:dyDescent="0.25">
      <c r="A22" s="750"/>
      <c r="B22" s="751"/>
      <c r="C22" s="751"/>
      <c r="D22" s="69" t="s">
        <v>32</v>
      </c>
      <c r="E22" s="66">
        <v>0</v>
      </c>
    </row>
    <row r="23" spans="1:5" outlineLevel="2" x14ac:dyDescent="0.25">
      <c r="A23" s="750"/>
      <c r="B23" s="751"/>
      <c r="C23" s="751"/>
      <c r="D23" s="69" t="s">
        <v>33</v>
      </c>
      <c r="E23" s="66">
        <v>0</v>
      </c>
    </row>
    <row r="24" spans="1:5" ht="15.75" outlineLevel="2" thickBot="1" x14ac:dyDescent="0.3">
      <c r="A24" s="750"/>
      <c r="B24" s="751"/>
      <c r="C24" s="751"/>
      <c r="D24" s="70" t="s">
        <v>34</v>
      </c>
      <c r="E24" s="67">
        <v>0</v>
      </c>
    </row>
    <row r="25" spans="1:5" ht="15.75" outlineLevel="1" thickBot="1" x14ac:dyDescent="0.3">
      <c r="A25" s="17" t="s">
        <v>109</v>
      </c>
      <c r="B25" s="17"/>
      <c r="C25" s="17"/>
      <c r="D25" s="28"/>
      <c r="E25" s="140">
        <f>SUM(E26:E75)</f>
        <v>2600000</v>
      </c>
    </row>
    <row r="26" spans="1:5" outlineLevel="2" x14ac:dyDescent="0.25">
      <c r="A26" s="750" t="s">
        <v>85</v>
      </c>
      <c r="B26" s="751" t="s">
        <v>83</v>
      </c>
      <c r="C26" s="751">
        <v>635009</v>
      </c>
      <c r="D26" s="68" t="s">
        <v>25</v>
      </c>
      <c r="E26" s="72">
        <v>200000</v>
      </c>
    </row>
    <row r="27" spans="1:5" outlineLevel="2" x14ac:dyDescent="0.25">
      <c r="A27" s="750"/>
      <c r="B27" s="751"/>
      <c r="C27" s="751"/>
      <c r="D27" s="69" t="s">
        <v>26</v>
      </c>
      <c r="E27" s="73">
        <v>200000</v>
      </c>
    </row>
    <row r="28" spans="1:5" outlineLevel="2" x14ac:dyDescent="0.25">
      <c r="A28" s="750"/>
      <c r="B28" s="751"/>
      <c r="C28" s="751"/>
      <c r="D28" s="69" t="s">
        <v>27</v>
      </c>
      <c r="E28" s="73">
        <v>200000</v>
      </c>
    </row>
    <row r="29" spans="1:5" outlineLevel="2" x14ac:dyDescent="0.25">
      <c r="A29" s="750"/>
      <c r="B29" s="751"/>
      <c r="C29" s="751"/>
      <c r="D29" s="69" t="s">
        <v>28</v>
      </c>
      <c r="E29" s="73">
        <v>200000</v>
      </c>
    </row>
    <row r="30" spans="1:5" outlineLevel="2" x14ac:dyDescent="0.25">
      <c r="A30" s="750"/>
      <c r="B30" s="751"/>
      <c r="C30" s="751"/>
      <c r="D30" s="69" t="s">
        <v>29</v>
      </c>
      <c r="E30" s="73">
        <v>200000</v>
      </c>
    </row>
    <row r="31" spans="1:5" outlineLevel="2" x14ac:dyDescent="0.25">
      <c r="A31" s="750"/>
      <c r="B31" s="751"/>
      <c r="C31" s="751"/>
      <c r="D31" s="69" t="s">
        <v>30</v>
      </c>
      <c r="E31" s="73">
        <v>200000</v>
      </c>
    </row>
    <row r="32" spans="1:5" outlineLevel="2" x14ac:dyDescent="0.25">
      <c r="A32" s="750"/>
      <c r="B32" s="751"/>
      <c r="C32" s="751"/>
      <c r="D32" s="69" t="s">
        <v>31</v>
      </c>
      <c r="E32" s="73">
        <v>200000</v>
      </c>
    </row>
    <row r="33" spans="1:5" outlineLevel="2" x14ac:dyDescent="0.25">
      <c r="A33" s="750"/>
      <c r="B33" s="751"/>
      <c r="C33" s="751"/>
      <c r="D33" s="69" t="s">
        <v>32</v>
      </c>
      <c r="E33" s="73">
        <v>200000</v>
      </c>
    </row>
    <row r="34" spans="1:5" outlineLevel="2" x14ac:dyDescent="0.25">
      <c r="A34" s="750"/>
      <c r="B34" s="751"/>
      <c r="C34" s="751"/>
      <c r="D34" s="69" t="s">
        <v>33</v>
      </c>
      <c r="E34" s="73">
        <v>200000</v>
      </c>
    </row>
    <row r="35" spans="1:5" ht="15.75" outlineLevel="2" thickBot="1" x14ac:dyDescent="0.3">
      <c r="A35" s="750"/>
      <c r="B35" s="751"/>
      <c r="C35" s="751"/>
      <c r="D35" s="70" t="s">
        <v>34</v>
      </c>
      <c r="E35" s="74">
        <v>200000</v>
      </c>
    </row>
    <row r="36" spans="1:5" outlineLevel="2" x14ac:dyDescent="0.25">
      <c r="A36" s="750" t="s">
        <v>86</v>
      </c>
      <c r="B36" s="751" t="s">
        <v>80</v>
      </c>
      <c r="C36" s="751">
        <v>637005</v>
      </c>
      <c r="D36" s="68" t="s">
        <v>25</v>
      </c>
      <c r="E36" s="73">
        <v>0</v>
      </c>
    </row>
    <row r="37" spans="1:5" outlineLevel="2" x14ac:dyDescent="0.25">
      <c r="A37" s="750"/>
      <c r="B37" s="751"/>
      <c r="C37" s="751"/>
      <c r="D37" s="69" t="s">
        <v>26</v>
      </c>
      <c r="E37" s="73">
        <v>0</v>
      </c>
    </row>
    <row r="38" spans="1:5" outlineLevel="2" x14ac:dyDescent="0.25">
      <c r="A38" s="750"/>
      <c r="B38" s="751"/>
      <c r="C38" s="751"/>
      <c r="D38" s="69" t="s">
        <v>27</v>
      </c>
      <c r="E38" s="73">
        <v>0</v>
      </c>
    </row>
    <row r="39" spans="1:5" outlineLevel="2" x14ac:dyDescent="0.25">
      <c r="A39" s="750"/>
      <c r="B39" s="751"/>
      <c r="C39" s="751"/>
      <c r="D39" s="69" t="s">
        <v>28</v>
      </c>
      <c r="E39" s="73">
        <v>0</v>
      </c>
    </row>
    <row r="40" spans="1:5" outlineLevel="2" x14ac:dyDescent="0.25">
      <c r="A40" s="750"/>
      <c r="B40" s="751"/>
      <c r="C40" s="751"/>
      <c r="D40" s="69" t="s">
        <v>29</v>
      </c>
      <c r="E40" s="73">
        <v>0</v>
      </c>
    </row>
    <row r="41" spans="1:5" outlineLevel="2" x14ac:dyDescent="0.25">
      <c r="A41" s="750"/>
      <c r="B41" s="751"/>
      <c r="C41" s="751"/>
      <c r="D41" s="69" t="s">
        <v>30</v>
      </c>
      <c r="E41" s="73">
        <v>0</v>
      </c>
    </row>
    <row r="42" spans="1:5" outlineLevel="2" x14ac:dyDescent="0.25">
      <c r="A42" s="750"/>
      <c r="B42" s="751"/>
      <c r="C42" s="751"/>
      <c r="D42" s="69" t="s">
        <v>31</v>
      </c>
      <c r="E42" s="73">
        <v>0</v>
      </c>
    </row>
    <row r="43" spans="1:5" outlineLevel="2" x14ac:dyDescent="0.25">
      <c r="A43" s="750"/>
      <c r="B43" s="751"/>
      <c r="C43" s="751"/>
      <c r="D43" s="69" t="s">
        <v>32</v>
      </c>
      <c r="E43" s="73">
        <v>0</v>
      </c>
    </row>
    <row r="44" spans="1:5" outlineLevel="2" x14ac:dyDescent="0.25">
      <c r="A44" s="750"/>
      <c r="B44" s="751"/>
      <c r="C44" s="751"/>
      <c r="D44" s="69" t="s">
        <v>33</v>
      </c>
      <c r="E44" s="73">
        <v>0</v>
      </c>
    </row>
    <row r="45" spans="1:5" ht="15.75" outlineLevel="2" thickBot="1" x14ac:dyDescent="0.3">
      <c r="A45" s="750"/>
      <c r="B45" s="751"/>
      <c r="C45" s="751"/>
      <c r="D45" s="70" t="s">
        <v>34</v>
      </c>
      <c r="E45" s="74">
        <v>0</v>
      </c>
    </row>
    <row r="46" spans="1:5" outlineLevel="2" x14ac:dyDescent="0.25">
      <c r="A46" s="750" t="s">
        <v>87</v>
      </c>
      <c r="B46" s="751" t="s">
        <v>75</v>
      </c>
      <c r="C46" s="751">
        <v>718006</v>
      </c>
      <c r="D46" s="68" t="s">
        <v>25</v>
      </c>
      <c r="E46" s="73">
        <v>60000</v>
      </c>
    </row>
    <row r="47" spans="1:5" outlineLevel="2" x14ac:dyDescent="0.25">
      <c r="A47" s="750"/>
      <c r="B47" s="751"/>
      <c r="C47" s="751"/>
      <c r="D47" s="69" t="s">
        <v>26</v>
      </c>
      <c r="E47" s="73">
        <v>60000</v>
      </c>
    </row>
    <row r="48" spans="1:5" outlineLevel="2" x14ac:dyDescent="0.25">
      <c r="A48" s="750"/>
      <c r="B48" s="751"/>
      <c r="C48" s="751"/>
      <c r="D48" s="69" t="s">
        <v>27</v>
      </c>
      <c r="E48" s="73">
        <v>60000</v>
      </c>
    </row>
    <row r="49" spans="1:5" outlineLevel="2" x14ac:dyDescent="0.25">
      <c r="A49" s="750"/>
      <c r="B49" s="751"/>
      <c r="C49" s="751"/>
      <c r="D49" s="69" t="s">
        <v>28</v>
      </c>
      <c r="E49" s="73">
        <v>60000</v>
      </c>
    </row>
    <row r="50" spans="1:5" outlineLevel="2" x14ac:dyDescent="0.25">
      <c r="A50" s="750"/>
      <c r="B50" s="751"/>
      <c r="C50" s="751"/>
      <c r="D50" s="69" t="s">
        <v>29</v>
      </c>
      <c r="E50" s="73">
        <v>60000</v>
      </c>
    </row>
    <row r="51" spans="1:5" outlineLevel="2" x14ac:dyDescent="0.25">
      <c r="A51" s="750"/>
      <c r="B51" s="751"/>
      <c r="C51" s="751"/>
      <c r="D51" s="69" t="s">
        <v>30</v>
      </c>
      <c r="E51" s="73">
        <v>60000</v>
      </c>
    </row>
    <row r="52" spans="1:5" outlineLevel="2" x14ac:dyDescent="0.25">
      <c r="A52" s="750"/>
      <c r="B52" s="751"/>
      <c r="C52" s="751"/>
      <c r="D52" s="69" t="s">
        <v>31</v>
      </c>
      <c r="E52" s="73">
        <v>60000</v>
      </c>
    </row>
    <row r="53" spans="1:5" outlineLevel="2" x14ac:dyDescent="0.25">
      <c r="A53" s="750"/>
      <c r="B53" s="751"/>
      <c r="C53" s="751"/>
      <c r="D53" s="69" t="s">
        <v>32</v>
      </c>
      <c r="E53" s="73">
        <v>60000</v>
      </c>
    </row>
    <row r="54" spans="1:5" outlineLevel="2" x14ac:dyDescent="0.25">
      <c r="A54" s="750"/>
      <c r="B54" s="751"/>
      <c r="C54" s="751"/>
      <c r="D54" s="69" t="s">
        <v>33</v>
      </c>
      <c r="E54" s="73">
        <v>60000</v>
      </c>
    </row>
    <row r="55" spans="1:5" ht="15.75" outlineLevel="2" thickBot="1" x14ac:dyDescent="0.3">
      <c r="A55" s="750"/>
      <c r="B55" s="751"/>
      <c r="C55" s="751"/>
      <c r="D55" s="70" t="s">
        <v>34</v>
      </c>
      <c r="E55" s="74">
        <v>60000</v>
      </c>
    </row>
    <row r="56" spans="1:5" outlineLevel="2" x14ac:dyDescent="0.25">
      <c r="A56" s="750" t="s">
        <v>88</v>
      </c>
      <c r="B56" s="751" t="s">
        <v>89</v>
      </c>
      <c r="C56" s="751"/>
      <c r="D56" s="68" t="s">
        <v>25</v>
      </c>
      <c r="E56" s="73">
        <v>0</v>
      </c>
    </row>
    <row r="57" spans="1:5" outlineLevel="2" x14ac:dyDescent="0.25">
      <c r="A57" s="750"/>
      <c r="B57" s="751"/>
      <c r="C57" s="751"/>
      <c r="D57" s="69" t="s">
        <v>26</v>
      </c>
      <c r="E57" s="73">
        <v>0</v>
      </c>
    </row>
    <row r="58" spans="1:5" outlineLevel="2" x14ac:dyDescent="0.25">
      <c r="A58" s="750"/>
      <c r="B58" s="751"/>
      <c r="C58" s="751"/>
      <c r="D58" s="69" t="s">
        <v>27</v>
      </c>
      <c r="E58" s="73">
        <v>0</v>
      </c>
    </row>
    <row r="59" spans="1:5" outlineLevel="2" x14ac:dyDescent="0.25">
      <c r="A59" s="750"/>
      <c r="B59" s="751"/>
      <c r="C59" s="751"/>
      <c r="D59" s="69" t="s">
        <v>28</v>
      </c>
      <c r="E59" s="73">
        <v>0</v>
      </c>
    </row>
    <row r="60" spans="1:5" outlineLevel="2" x14ac:dyDescent="0.25">
      <c r="A60" s="750"/>
      <c r="B60" s="751"/>
      <c r="C60" s="751"/>
      <c r="D60" s="69" t="s">
        <v>29</v>
      </c>
      <c r="E60" s="73">
        <v>0</v>
      </c>
    </row>
    <row r="61" spans="1:5" outlineLevel="2" x14ac:dyDescent="0.25">
      <c r="A61" s="750"/>
      <c r="B61" s="751"/>
      <c r="C61" s="751"/>
      <c r="D61" s="69" t="s">
        <v>30</v>
      </c>
      <c r="E61" s="73">
        <v>0</v>
      </c>
    </row>
    <row r="62" spans="1:5" outlineLevel="2" x14ac:dyDescent="0.25">
      <c r="A62" s="750"/>
      <c r="B62" s="751"/>
      <c r="C62" s="751"/>
      <c r="D62" s="69" t="s">
        <v>31</v>
      </c>
      <c r="E62" s="73">
        <v>0</v>
      </c>
    </row>
    <row r="63" spans="1:5" outlineLevel="2" x14ac:dyDescent="0.25">
      <c r="A63" s="750"/>
      <c r="B63" s="751"/>
      <c r="C63" s="751"/>
      <c r="D63" s="69" t="s">
        <v>32</v>
      </c>
      <c r="E63" s="73">
        <v>0</v>
      </c>
    </row>
    <row r="64" spans="1:5" outlineLevel="2" x14ac:dyDescent="0.25">
      <c r="A64" s="750"/>
      <c r="B64" s="751"/>
      <c r="C64" s="751"/>
      <c r="D64" s="69" t="s">
        <v>33</v>
      </c>
      <c r="E64" s="73">
        <v>0</v>
      </c>
    </row>
    <row r="65" spans="1:5" ht="15.75" outlineLevel="2" thickBot="1" x14ac:dyDescent="0.3">
      <c r="A65" s="750"/>
      <c r="B65" s="751"/>
      <c r="C65" s="751"/>
      <c r="D65" s="70" t="s">
        <v>34</v>
      </c>
      <c r="E65" s="74">
        <v>0</v>
      </c>
    </row>
    <row r="66" spans="1:5" outlineLevel="2" x14ac:dyDescent="0.25">
      <c r="A66" s="750" t="s">
        <v>79</v>
      </c>
      <c r="B66" s="751" t="s">
        <v>80</v>
      </c>
      <c r="C66" s="751">
        <v>637001</v>
      </c>
      <c r="D66" s="68" t="s">
        <v>25</v>
      </c>
      <c r="E66" s="73">
        <v>0</v>
      </c>
    </row>
    <row r="67" spans="1:5" outlineLevel="2" x14ac:dyDescent="0.25">
      <c r="A67" s="750"/>
      <c r="B67" s="751"/>
      <c r="C67" s="751"/>
      <c r="D67" s="69" t="s">
        <v>26</v>
      </c>
      <c r="E67" s="73">
        <v>0</v>
      </c>
    </row>
    <row r="68" spans="1:5" outlineLevel="2" x14ac:dyDescent="0.25">
      <c r="A68" s="750"/>
      <c r="B68" s="751"/>
      <c r="C68" s="751"/>
      <c r="D68" s="69" t="s">
        <v>27</v>
      </c>
      <c r="E68" s="73">
        <v>0</v>
      </c>
    </row>
    <row r="69" spans="1:5" outlineLevel="2" x14ac:dyDescent="0.25">
      <c r="A69" s="750"/>
      <c r="B69" s="751"/>
      <c r="C69" s="751"/>
      <c r="D69" s="69" t="s">
        <v>28</v>
      </c>
      <c r="E69" s="73">
        <v>0</v>
      </c>
    </row>
    <row r="70" spans="1:5" outlineLevel="2" x14ac:dyDescent="0.25">
      <c r="A70" s="750"/>
      <c r="B70" s="751"/>
      <c r="C70" s="751"/>
      <c r="D70" s="69" t="s">
        <v>29</v>
      </c>
      <c r="E70" s="73">
        <v>0</v>
      </c>
    </row>
    <row r="71" spans="1:5" outlineLevel="2" x14ac:dyDescent="0.25">
      <c r="A71" s="750"/>
      <c r="B71" s="751"/>
      <c r="C71" s="751"/>
      <c r="D71" s="69" t="s">
        <v>30</v>
      </c>
      <c r="E71" s="73">
        <v>0</v>
      </c>
    </row>
    <row r="72" spans="1:5" outlineLevel="2" x14ac:dyDescent="0.25">
      <c r="A72" s="750"/>
      <c r="B72" s="751"/>
      <c r="C72" s="751"/>
      <c r="D72" s="69" t="s">
        <v>31</v>
      </c>
      <c r="E72" s="73">
        <v>0</v>
      </c>
    </row>
    <row r="73" spans="1:5" outlineLevel="2" x14ac:dyDescent="0.25">
      <c r="A73" s="750"/>
      <c r="B73" s="751"/>
      <c r="C73" s="751"/>
      <c r="D73" s="69" t="s">
        <v>32</v>
      </c>
      <c r="E73" s="73">
        <v>0</v>
      </c>
    </row>
    <row r="74" spans="1:5" outlineLevel="2" x14ac:dyDescent="0.25">
      <c r="A74" s="750"/>
      <c r="B74" s="751"/>
      <c r="C74" s="751"/>
      <c r="D74" s="69" t="s">
        <v>33</v>
      </c>
      <c r="E74" s="73">
        <v>0</v>
      </c>
    </row>
    <row r="75" spans="1:5" ht="15.75" outlineLevel="2" thickBot="1" x14ac:dyDescent="0.3">
      <c r="A75" s="750"/>
      <c r="B75" s="751"/>
      <c r="C75" s="751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zoomScale="60" zoomScaleNormal="85" workbookViewId="0">
      <selection activeCell="F13" sqref="F13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6" t="s">
        <v>100</v>
      </c>
      <c r="B1" s="746"/>
      <c r="C1" s="746"/>
      <c r="D1" s="747"/>
      <c r="E1" s="71" t="s">
        <v>35</v>
      </c>
    </row>
    <row r="2" spans="1:5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5.75" thickBot="1" x14ac:dyDescent="0.3">
      <c r="A3" s="752" t="s">
        <v>91</v>
      </c>
      <c r="B3" s="752"/>
      <c r="C3" s="752"/>
      <c r="D3" s="77"/>
      <c r="E3" s="78">
        <f>SUM(E4:E53)</f>
        <v>0</v>
      </c>
    </row>
    <row r="4" spans="1:5" outlineLevel="1" x14ac:dyDescent="0.25">
      <c r="A4" s="750" t="s">
        <v>96</v>
      </c>
      <c r="B4" s="751" t="s">
        <v>83</v>
      </c>
      <c r="C4" s="751">
        <v>635002</v>
      </c>
      <c r="D4" s="68" t="s">
        <v>25</v>
      </c>
      <c r="E4" s="72">
        <v>0</v>
      </c>
    </row>
    <row r="5" spans="1:5" outlineLevel="1" x14ac:dyDescent="0.25">
      <c r="A5" s="750"/>
      <c r="B5" s="751"/>
      <c r="C5" s="751"/>
      <c r="D5" s="69" t="s">
        <v>26</v>
      </c>
      <c r="E5" s="73">
        <v>0</v>
      </c>
    </row>
    <row r="6" spans="1:5" outlineLevel="1" x14ac:dyDescent="0.25">
      <c r="A6" s="750"/>
      <c r="B6" s="751"/>
      <c r="C6" s="751"/>
      <c r="D6" s="69" t="s">
        <v>27</v>
      </c>
      <c r="E6" s="73">
        <v>0</v>
      </c>
    </row>
    <row r="7" spans="1:5" outlineLevel="1" x14ac:dyDescent="0.25">
      <c r="A7" s="750"/>
      <c r="B7" s="751"/>
      <c r="C7" s="751"/>
      <c r="D7" s="69" t="s">
        <v>28</v>
      </c>
      <c r="E7" s="73">
        <v>0</v>
      </c>
    </row>
    <row r="8" spans="1:5" outlineLevel="1" x14ac:dyDescent="0.25">
      <c r="A8" s="750"/>
      <c r="B8" s="751"/>
      <c r="C8" s="751"/>
      <c r="D8" s="69" t="s">
        <v>29</v>
      </c>
      <c r="E8" s="73">
        <v>0</v>
      </c>
    </row>
    <row r="9" spans="1:5" outlineLevel="1" x14ac:dyDescent="0.25">
      <c r="A9" s="750"/>
      <c r="B9" s="751"/>
      <c r="C9" s="751"/>
      <c r="D9" s="69" t="s">
        <v>30</v>
      </c>
      <c r="E9" s="73">
        <v>0</v>
      </c>
    </row>
    <row r="10" spans="1:5" outlineLevel="1" x14ac:dyDescent="0.25">
      <c r="A10" s="750"/>
      <c r="B10" s="751"/>
      <c r="C10" s="751"/>
      <c r="D10" s="69" t="s">
        <v>31</v>
      </c>
      <c r="E10" s="73">
        <v>0</v>
      </c>
    </row>
    <row r="11" spans="1:5" outlineLevel="1" x14ac:dyDescent="0.25">
      <c r="A11" s="750"/>
      <c r="B11" s="751"/>
      <c r="C11" s="751"/>
      <c r="D11" s="69" t="s">
        <v>32</v>
      </c>
      <c r="E11" s="73">
        <v>0</v>
      </c>
    </row>
    <row r="12" spans="1:5" outlineLevel="1" x14ac:dyDescent="0.25">
      <c r="A12" s="750"/>
      <c r="B12" s="751"/>
      <c r="C12" s="751"/>
      <c r="D12" s="69" t="s">
        <v>33</v>
      </c>
      <c r="E12" s="73">
        <v>0</v>
      </c>
    </row>
    <row r="13" spans="1:5" ht="15.75" outlineLevel="1" thickBot="1" x14ac:dyDescent="0.3">
      <c r="A13" s="750"/>
      <c r="B13" s="751"/>
      <c r="C13" s="751"/>
      <c r="D13" s="70" t="s">
        <v>34</v>
      </c>
      <c r="E13" s="74">
        <v>0</v>
      </c>
    </row>
    <row r="14" spans="1:5" outlineLevel="1" x14ac:dyDescent="0.25">
      <c r="A14" s="750" t="s">
        <v>97</v>
      </c>
      <c r="B14" s="750" t="s">
        <v>95</v>
      </c>
      <c r="C14" s="751">
        <v>718002</v>
      </c>
      <c r="D14" s="68" t="s">
        <v>25</v>
      </c>
      <c r="E14" s="73">
        <v>0</v>
      </c>
    </row>
    <row r="15" spans="1:5" outlineLevel="1" x14ac:dyDescent="0.25">
      <c r="A15" s="750"/>
      <c r="B15" s="751"/>
      <c r="C15" s="751"/>
      <c r="D15" s="69" t="s">
        <v>26</v>
      </c>
      <c r="E15" s="73">
        <v>0</v>
      </c>
    </row>
    <row r="16" spans="1:5" outlineLevel="1" x14ac:dyDescent="0.25">
      <c r="A16" s="750"/>
      <c r="B16" s="751"/>
      <c r="C16" s="751"/>
      <c r="D16" s="69" t="s">
        <v>27</v>
      </c>
      <c r="E16" s="73">
        <v>0</v>
      </c>
    </row>
    <row r="17" spans="1:5" outlineLevel="1" x14ac:dyDescent="0.25">
      <c r="A17" s="750"/>
      <c r="B17" s="751"/>
      <c r="C17" s="751"/>
      <c r="D17" s="69" t="s">
        <v>28</v>
      </c>
      <c r="E17" s="73">
        <v>0</v>
      </c>
    </row>
    <row r="18" spans="1:5" outlineLevel="1" x14ac:dyDescent="0.25">
      <c r="A18" s="750"/>
      <c r="B18" s="751"/>
      <c r="C18" s="751"/>
      <c r="D18" s="69" t="s">
        <v>29</v>
      </c>
      <c r="E18" s="73">
        <v>0</v>
      </c>
    </row>
    <row r="19" spans="1:5" outlineLevel="1" x14ac:dyDescent="0.25">
      <c r="A19" s="750"/>
      <c r="B19" s="751"/>
      <c r="C19" s="751"/>
      <c r="D19" s="69" t="s">
        <v>30</v>
      </c>
      <c r="E19" s="73">
        <v>0</v>
      </c>
    </row>
    <row r="20" spans="1:5" outlineLevel="1" x14ac:dyDescent="0.25">
      <c r="A20" s="750"/>
      <c r="B20" s="751"/>
      <c r="C20" s="751"/>
      <c r="D20" s="69" t="s">
        <v>31</v>
      </c>
      <c r="E20" s="73">
        <v>0</v>
      </c>
    </row>
    <row r="21" spans="1:5" outlineLevel="1" x14ac:dyDescent="0.25">
      <c r="A21" s="750"/>
      <c r="B21" s="751"/>
      <c r="C21" s="751"/>
      <c r="D21" s="69" t="s">
        <v>32</v>
      </c>
      <c r="E21" s="73">
        <v>0</v>
      </c>
    </row>
    <row r="22" spans="1:5" outlineLevel="1" x14ac:dyDescent="0.25">
      <c r="A22" s="750"/>
      <c r="B22" s="751"/>
      <c r="C22" s="751"/>
      <c r="D22" s="69" t="s">
        <v>33</v>
      </c>
      <c r="E22" s="73">
        <v>0</v>
      </c>
    </row>
    <row r="23" spans="1:5" ht="15.75" outlineLevel="1" thickBot="1" x14ac:dyDescent="0.3">
      <c r="A23" s="750"/>
      <c r="B23" s="751"/>
      <c r="C23" s="751"/>
      <c r="D23" s="70" t="s">
        <v>34</v>
      </c>
      <c r="E23" s="74">
        <v>0</v>
      </c>
    </row>
    <row r="24" spans="1:5" outlineLevel="1" x14ac:dyDescent="0.25">
      <c r="A24" s="750" t="s">
        <v>98</v>
      </c>
      <c r="B24" s="751"/>
      <c r="C24" s="751"/>
      <c r="D24" s="68" t="s">
        <v>25</v>
      </c>
      <c r="E24" s="73">
        <v>0</v>
      </c>
    </row>
    <row r="25" spans="1:5" outlineLevel="1" x14ac:dyDescent="0.25">
      <c r="A25" s="750"/>
      <c r="B25" s="751"/>
      <c r="C25" s="751"/>
      <c r="D25" s="69" t="s">
        <v>26</v>
      </c>
      <c r="E25" s="73">
        <v>0</v>
      </c>
    </row>
    <row r="26" spans="1:5" outlineLevel="1" x14ac:dyDescent="0.25">
      <c r="A26" s="750"/>
      <c r="B26" s="751"/>
      <c r="C26" s="751"/>
      <c r="D26" s="69" t="s">
        <v>27</v>
      </c>
      <c r="E26" s="73">
        <v>0</v>
      </c>
    </row>
    <row r="27" spans="1:5" outlineLevel="1" x14ac:dyDescent="0.25">
      <c r="A27" s="750"/>
      <c r="B27" s="751"/>
      <c r="C27" s="751"/>
      <c r="D27" s="69" t="s">
        <v>28</v>
      </c>
      <c r="E27" s="73">
        <v>0</v>
      </c>
    </row>
    <row r="28" spans="1:5" outlineLevel="1" x14ac:dyDescent="0.25">
      <c r="A28" s="750"/>
      <c r="B28" s="751"/>
      <c r="C28" s="751"/>
      <c r="D28" s="69" t="s">
        <v>29</v>
      </c>
      <c r="E28" s="73">
        <v>0</v>
      </c>
    </row>
    <row r="29" spans="1:5" outlineLevel="1" x14ac:dyDescent="0.25">
      <c r="A29" s="750"/>
      <c r="B29" s="751"/>
      <c r="C29" s="751"/>
      <c r="D29" s="69" t="s">
        <v>30</v>
      </c>
      <c r="E29" s="73">
        <v>0</v>
      </c>
    </row>
    <row r="30" spans="1:5" outlineLevel="1" x14ac:dyDescent="0.25">
      <c r="A30" s="750"/>
      <c r="B30" s="751"/>
      <c r="C30" s="751"/>
      <c r="D30" s="69" t="s">
        <v>31</v>
      </c>
      <c r="E30" s="73">
        <v>0</v>
      </c>
    </row>
    <row r="31" spans="1:5" outlineLevel="1" x14ac:dyDescent="0.25">
      <c r="A31" s="750"/>
      <c r="B31" s="751"/>
      <c r="C31" s="751"/>
      <c r="D31" s="69" t="s">
        <v>32</v>
      </c>
      <c r="E31" s="73">
        <v>0</v>
      </c>
    </row>
    <row r="32" spans="1:5" outlineLevel="1" x14ac:dyDescent="0.25">
      <c r="A32" s="750"/>
      <c r="B32" s="751"/>
      <c r="C32" s="751"/>
      <c r="D32" s="69" t="s">
        <v>33</v>
      </c>
      <c r="E32" s="73">
        <v>0</v>
      </c>
    </row>
    <row r="33" spans="1:5" ht="15.75" outlineLevel="1" thickBot="1" x14ac:dyDescent="0.3">
      <c r="A33" s="750"/>
      <c r="B33" s="751"/>
      <c r="C33" s="751"/>
      <c r="D33" s="70" t="s">
        <v>34</v>
      </c>
      <c r="E33" s="74">
        <v>0</v>
      </c>
    </row>
    <row r="34" spans="1:5" outlineLevel="1" x14ac:dyDescent="0.25">
      <c r="A34" s="750" t="s">
        <v>99</v>
      </c>
      <c r="B34" s="751"/>
      <c r="C34" s="751"/>
      <c r="D34" s="68" t="s">
        <v>25</v>
      </c>
      <c r="E34" s="73">
        <v>0</v>
      </c>
    </row>
    <row r="35" spans="1:5" outlineLevel="1" x14ac:dyDescent="0.25">
      <c r="A35" s="750"/>
      <c r="B35" s="751"/>
      <c r="C35" s="751"/>
      <c r="D35" s="69" t="s">
        <v>26</v>
      </c>
      <c r="E35" s="73">
        <v>0</v>
      </c>
    </row>
    <row r="36" spans="1:5" outlineLevel="1" x14ac:dyDescent="0.25">
      <c r="A36" s="750"/>
      <c r="B36" s="751"/>
      <c r="C36" s="751"/>
      <c r="D36" s="69" t="s">
        <v>27</v>
      </c>
      <c r="E36" s="73">
        <v>0</v>
      </c>
    </row>
    <row r="37" spans="1:5" outlineLevel="1" x14ac:dyDescent="0.25">
      <c r="A37" s="750"/>
      <c r="B37" s="751"/>
      <c r="C37" s="751"/>
      <c r="D37" s="69" t="s">
        <v>28</v>
      </c>
      <c r="E37" s="73">
        <v>0</v>
      </c>
    </row>
    <row r="38" spans="1:5" outlineLevel="1" x14ac:dyDescent="0.25">
      <c r="A38" s="750"/>
      <c r="B38" s="751"/>
      <c r="C38" s="751"/>
      <c r="D38" s="69" t="s">
        <v>29</v>
      </c>
      <c r="E38" s="73">
        <v>0</v>
      </c>
    </row>
    <row r="39" spans="1:5" outlineLevel="1" x14ac:dyDescent="0.25">
      <c r="A39" s="750"/>
      <c r="B39" s="751"/>
      <c r="C39" s="751"/>
      <c r="D39" s="69" t="s">
        <v>30</v>
      </c>
      <c r="E39" s="73">
        <v>0</v>
      </c>
    </row>
    <row r="40" spans="1:5" outlineLevel="1" x14ac:dyDescent="0.25">
      <c r="A40" s="750"/>
      <c r="B40" s="751"/>
      <c r="C40" s="751"/>
      <c r="D40" s="69" t="s">
        <v>31</v>
      </c>
      <c r="E40" s="73">
        <v>0</v>
      </c>
    </row>
    <row r="41" spans="1:5" outlineLevel="1" x14ac:dyDescent="0.25">
      <c r="A41" s="750"/>
      <c r="B41" s="751"/>
      <c r="C41" s="751"/>
      <c r="D41" s="69" t="s">
        <v>32</v>
      </c>
      <c r="E41" s="73">
        <v>0</v>
      </c>
    </row>
    <row r="42" spans="1:5" outlineLevel="1" x14ac:dyDescent="0.25">
      <c r="A42" s="750"/>
      <c r="B42" s="751"/>
      <c r="C42" s="751"/>
      <c r="D42" s="69" t="s">
        <v>33</v>
      </c>
      <c r="E42" s="73">
        <v>0</v>
      </c>
    </row>
    <row r="43" spans="1:5" ht="15.75" outlineLevel="1" thickBot="1" x14ac:dyDescent="0.3">
      <c r="A43" s="750"/>
      <c r="B43" s="751"/>
      <c r="C43" s="751"/>
      <c r="D43" s="70" t="s">
        <v>34</v>
      </c>
      <c r="E43" s="74">
        <v>0</v>
      </c>
    </row>
    <row r="44" spans="1:5" outlineLevel="1" x14ac:dyDescent="0.25">
      <c r="A44" s="750" t="s">
        <v>94</v>
      </c>
      <c r="B44" s="751" t="s">
        <v>80</v>
      </c>
      <c r="C44" s="751">
        <v>637001</v>
      </c>
      <c r="D44" s="68" t="s">
        <v>25</v>
      </c>
      <c r="E44" s="73">
        <v>0</v>
      </c>
    </row>
    <row r="45" spans="1:5" outlineLevel="1" x14ac:dyDescent="0.25">
      <c r="A45" s="750"/>
      <c r="B45" s="751"/>
      <c r="C45" s="751"/>
      <c r="D45" s="69" t="s">
        <v>26</v>
      </c>
      <c r="E45" s="73">
        <v>0</v>
      </c>
    </row>
    <row r="46" spans="1:5" outlineLevel="1" x14ac:dyDescent="0.25">
      <c r="A46" s="750"/>
      <c r="B46" s="751"/>
      <c r="C46" s="751"/>
      <c r="D46" s="69" t="s">
        <v>27</v>
      </c>
      <c r="E46" s="73">
        <v>0</v>
      </c>
    </row>
    <row r="47" spans="1:5" outlineLevel="1" x14ac:dyDescent="0.25">
      <c r="A47" s="750"/>
      <c r="B47" s="751"/>
      <c r="C47" s="751"/>
      <c r="D47" s="69" t="s">
        <v>28</v>
      </c>
      <c r="E47" s="73">
        <v>0</v>
      </c>
    </row>
    <row r="48" spans="1:5" outlineLevel="1" x14ac:dyDescent="0.25">
      <c r="A48" s="750"/>
      <c r="B48" s="751"/>
      <c r="C48" s="751"/>
      <c r="D48" s="69" t="s">
        <v>29</v>
      </c>
      <c r="E48" s="73">
        <v>0</v>
      </c>
    </row>
    <row r="49" spans="1:5" outlineLevel="1" x14ac:dyDescent="0.25">
      <c r="A49" s="750"/>
      <c r="B49" s="751"/>
      <c r="C49" s="751"/>
      <c r="D49" s="69" t="s">
        <v>30</v>
      </c>
      <c r="E49" s="73">
        <v>0</v>
      </c>
    </row>
    <row r="50" spans="1:5" outlineLevel="1" x14ac:dyDescent="0.25">
      <c r="A50" s="750"/>
      <c r="B50" s="751"/>
      <c r="C50" s="751"/>
      <c r="D50" s="69" t="s">
        <v>31</v>
      </c>
      <c r="E50" s="73">
        <v>0</v>
      </c>
    </row>
    <row r="51" spans="1:5" outlineLevel="1" x14ac:dyDescent="0.25">
      <c r="A51" s="750"/>
      <c r="B51" s="751"/>
      <c r="C51" s="751"/>
      <c r="D51" s="69" t="s">
        <v>32</v>
      </c>
      <c r="E51" s="73">
        <v>0</v>
      </c>
    </row>
    <row r="52" spans="1:5" outlineLevel="1" x14ac:dyDescent="0.25">
      <c r="A52" s="750"/>
      <c r="B52" s="751"/>
      <c r="C52" s="751"/>
      <c r="D52" s="69" t="s">
        <v>33</v>
      </c>
      <c r="E52" s="73">
        <v>0</v>
      </c>
    </row>
    <row r="53" spans="1:5" ht="15.75" outlineLevel="1" thickBot="1" x14ac:dyDescent="0.3">
      <c r="A53" s="750"/>
      <c r="B53" s="751"/>
      <c r="C53" s="751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M170"/>
  <sheetViews>
    <sheetView view="pageBreakPreview" topLeftCell="A34" zoomScale="60" zoomScaleNormal="85" workbookViewId="0">
      <selection activeCell="D151" sqref="A151:XFD151"/>
    </sheetView>
  </sheetViews>
  <sheetFormatPr defaultColWidth="8.85546875" defaultRowHeight="15" outlineLevelRow="2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12" width="19.28515625" customWidth="1" outlineLevel="1"/>
    <col min="13" max="13" width="22.140625" customWidth="1" outlineLevel="1"/>
  </cols>
  <sheetData>
    <row r="1" spans="1:13" ht="35.25" customHeight="1" thickBot="1" x14ac:dyDescent="0.4">
      <c r="A1" s="746" t="s">
        <v>101</v>
      </c>
      <c r="B1" s="746"/>
      <c r="C1" s="746"/>
      <c r="D1" s="747"/>
      <c r="E1" s="71" t="s">
        <v>35</v>
      </c>
      <c r="F1" s="329" t="s">
        <v>476</v>
      </c>
      <c r="G1" s="329" t="s">
        <v>477</v>
      </c>
      <c r="H1" s="329" t="s">
        <v>478</v>
      </c>
      <c r="I1" s="329" t="s">
        <v>484</v>
      </c>
      <c r="J1" s="329" t="s">
        <v>485</v>
      </c>
      <c r="K1" s="329" t="s">
        <v>486</v>
      </c>
      <c r="L1" s="329" t="s">
        <v>487</v>
      </c>
      <c r="M1" s="329" t="s">
        <v>350</v>
      </c>
    </row>
    <row r="2" spans="1:13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  <c r="L2" s="17"/>
      <c r="M2" s="17"/>
    </row>
    <row r="3" spans="1:13" ht="15.75" thickBot="1" x14ac:dyDescent="0.3">
      <c r="A3" s="753" t="s">
        <v>121</v>
      </c>
      <c r="B3" s="754"/>
      <c r="C3" s="754"/>
      <c r="D3" s="81"/>
      <c r="E3" s="78">
        <f t="shared" ref="E3:M3" si="0">E4+E25</f>
        <v>2928203.68</v>
      </c>
      <c r="F3" s="79">
        <f t="shared" si="0"/>
        <v>494738.50999999995</v>
      </c>
      <c r="G3" s="79">
        <f t="shared" si="0"/>
        <v>395570.54000000004</v>
      </c>
      <c r="H3" s="297">
        <f t="shared" si="0"/>
        <v>247076.57</v>
      </c>
      <c r="I3" s="297">
        <f t="shared" si="0"/>
        <v>588986.53</v>
      </c>
      <c r="J3" s="79">
        <f t="shared" ref="J3:L3" si="1">J4+J25</f>
        <v>399932.57000000007</v>
      </c>
      <c r="K3" s="297">
        <f t="shared" si="1"/>
        <v>332696.44999999995</v>
      </c>
      <c r="L3" s="297">
        <f t="shared" si="1"/>
        <v>469202.51</v>
      </c>
      <c r="M3" s="80">
        <f t="shared" si="0"/>
        <v>0</v>
      </c>
    </row>
    <row r="4" spans="1:13" ht="15.75" outlineLevel="1" thickBot="1" x14ac:dyDescent="0.3">
      <c r="A4" s="17" t="s">
        <v>108</v>
      </c>
      <c r="B4" s="17"/>
      <c r="C4" s="17"/>
      <c r="D4" s="28"/>
      <c r="E4" s="78">
        <f t="shared" ref="E4:M4" si="2">SUM(E5:E24)</f>
        <v>0</v>
      </c>
      <c r="F4" s="79">
        <f t="shared" si="2"/>
        <v>0</v>
      </c>
      <c r="G4" s="79">
        <f t="shared" si="2"/>
        <v>0</v>
      </c>
      <c r="H4" s="297">
        <f t="shared" si="2"/>
        <v>0</v>
      </c>
      <c r="I4" s="297">
        <f t="shared" si="2"/>
        <v>0</v>
      </c>
      <c r="J4" s="79">
        <f t="shared" ref="J4:L4" si="3">SUM(J5:J24)</f>
        <v>0</v>
      </c>
      <c r="K4" s="297">
        <f t="shared" si="3"/>
        <v>0</v>
      </c>
      <c r="L4" s="297">
        <f t="shared" si="3"/>
        <v>0</v>
      </c>
      <c r="M4" s="80">
        <f t="shared" si="2"/>
        <v>0</v>
      </c>
    </row>
    <row r="5" spans="1:13" outlineLevel="2" x14ac:dyDescent="0.25">
      <c r="A5" s="750" t="s">
        <v>74</v>
      </c>
      <c r="B5" s="751" t="s">
        <v>75</v>
      </c>
      <c r="C5" s="751">
        <v>711003</v>
      </c>
      <c r="D5" s="68" t="s">
        <v>25</v>
      </c>
      <c r="E5" s="65">
        <f>SUM(F5:M5)</f>
        <v>0</v>
      </c>
      <c r="F5" s="129">
        <v>0</v>
      </c>
      <c r="G5" s="130">
        <v>0</v>
      </c>
      <c r="H5" s="298">
        <v>0</v>
      </c>
      <c r="I5" s="298">
        <v>0</v>
      </c>
      <c r="J5" s="130">
        <v>0</v>
      </c>
      <c r="K5" s="298">
        <v>0</v>
      </c>
      <c r="L5" s="298">
        <v>0</v>
      </c>
      <c r="M5" s="135">
        <v>0</v>
      </c>
    </row>
    <row r="6" spans="1:13" outlineLevel="2" x14ac:dyDescent="0.25">
      <c r="A6" s="750"/>
      <c r="B6" s="751"/>
      <c r="C6" s="751"/>
      <c r="D6" s="69" t="s">
        <v>26</v>
      </c>
      <c r="E6" s="66">
        <f t="shared" ref="E6:E24" si="4">SUM(F6:M6)</f>
        <v>0</v>
      </c>
      <c r="F6" s="131">
        <v>0</v>
      </c>
      <c r="G6" s="132">
        <v>0</v>
      </c>
      <c r="H6" s="299">
        <v>0</v>
      </c>
      <c r="I6" s="299">
        <v>0</v>
      </c>
      <c r="J6" s="132">
        <v>0</v>
      </c>
      <c r="K6" s="299">
        <v>0</v>
      </c>
      <c r="L6" s="299">
        <v>0</v>
      </c>
      <c r="M6" s="136">
        <v>0</v>
      </c>
    </row>
    <row r="7" spans="1:13" outlineLevel="2" x14ac:dyDescent="0.25">
      <c r="A7" s="750"/>
      <c r="B7" s="751"/>
      <c r="C7" s="751"/>
      <c r="D7" s="69" t="s">
        <v>27</v>
      </c>
      <c r="E7" s="66">
        <f t="shared" si="4"/>
        <v>0</v>
      </c>
      <c r="F7" s="131">
        <v>0</v>
      </c>
      <c r="G7" s="132">
        <v>0</v>
      </c>
      <c r="H7" s="299">
        <v>0</v>
      </c>
      <c r="I7" s="299">
        <v>0</v>
      </c>
      <c r="J7" s="132">
        <v>0</v>
      </c>
      <c r="K7" s="299">
        <v>0</v>
      </c>
      <c r="L7" s="299">
        <v>0</v>
      </c>
      <c r="M7" s="136">
        <v>0</v>
      </c>
    </row>
    <row r="8" spans="1:13" outlineLevel="2" x14ac:dyDescent="0.25">
      <c r="A8" s="750"/>
      <c r="B8" s="751"/>
      <c r="C8" s="751"/>
      <c r="D8" s="69" t="s">
        <v>28</v>
      </c>
      <c r="E8" s="66">
        <f t="shared" si="4"/>
        <v>0</v>
      </c>
      <c r="F8" s="131">
        <v>0</v>
      </c>
      <c r="G8" s="132">
        <v>0</v>
      </c>
      <c r="H8" s="299">
        <v>0</v>
      </c>
      <c r="I8" s="299">
        <v>0</v>
      </c>
      <c r="J8" s="132">
        <v>0</v>
      </c>
      <c r="K8" s="299">
        <v>0</v>
      </c>
      <c r="L8" s="299">
        <v>0</v>
      </c>
      <c r="M8" s="136">
        <v>0</v>
      </c>
    </row>
    <row r="9" spans="1:13" outlineLevel="2" x14ac:dyDescent="0.25">
      <c r="A9" s="750"/>
      <c r="B9" s="751"/>
      <c r="C9" s="751"/>
      <c r="D9" s="69" t="s">
        <v>29</v>
      </c>
      <c r="E9" s="66">
        <f t="shared" si="4"/>
        <v>0</v>
      </c>
      <c r="F9" s="131">
        <v>0</v>
      </c>
      <c r="G9" s="132">
        <v>0</v>
      </c>
      <c r="H9" s="299">
        <v>0</v>
      </c>
      <c r="I9" s="299">
        <v>0</v>
      </c>
      <c r="J9" s="132">
        <v>0</v>
      </c>
      <c r="K9" s="299">
        <v>0</v>
      </c>
      <c r="L9" s="299">
        <v>0</v>
      </c>
      <c r="M9" s="136">
        <v>0</v>
      </c>
    </row>
    <row r="10" spans="1:13" outlineLevel="2" x14ac:dyDescent="0.25">
      <c r="A10" s="750"/>
      <c r="B10" s="751"/>
      <c r="C10" s="751"/>
      <c r="D10" s="69" t="s">
        <v>30</v>
      </c>
      <c r="E10" s="66">
        <f t="shared" si="4"/>
        <v>0</v>
      </c>
      <c r="F10" s="131">
        <v>0</v>
      </c>
      <c r="G10" s="132">
        <v>0</v>
      </c>
      <c r="H10" s="299">
        <v>0</v>
      </c>
      <c r="I10" s="299">
        <v>0</v>
      </c>
      <c r="J10" s="132">
        <v>0</v>
      </c>
      <c r="K10" s="299">
        <v>0</v>
      </c>
      <c r="L10" s="299">
        <v>0</v>
      </c>
      <c r="M10" s="136">
        <v>0</v>
      </c>
    </row>
    <row r="11" spans="1:13" outlineLevel="2" x14ac:dyDescent="0.25">
      <c r="A11" s="750"/>
      <c r="B11" s="751"/>
      <c r="C11" s="751"/>
      <c r="D11" s="69" t="s">
        <v>31</v>
      </c>
      <c r="E11" s="66">
        <f t="shared" si="4"/>
        <v>0</v>
      </c>
      <c r="F11" s="131">
        <v>0</v>
      </c>
      <c r="G11" s="132">
        <v>0</v>
      </c>
      <c r="H11" s="299">
        <v>0</v>
      </c>
      <c r="I11" s="299">
        <v>0</v>
      </c>
      <c r="J11" s="132">
        <v>0</v>
      </c>
      <c r="K11" s="299">
        <v>0</v>
      </c>
      <c r="L11" s="299">
        <v>0</v>
      </c>
      <c r="M11" s="136">
        <v>0</v>
      </c>
    </row>
    <row r="12" spans="1:13" outlineLevel="2" x14ac:dyDescent="0.25">
      <c r="A12" s="750"/>
      <c r="B12" s="751"/>
      <c r="C12" s="751"/>
      <c r="D12" s="69" t="s">
        <v>32</v>
      </c>
      <c r="E12" s="66">
        <f t="shared" si="4"/>
        <v>0</v>
      </c>
      <c r="F12" s="131">
        <v>0</v>
      </c>
      <c r="G12" s="132">
        <v>0</v>
      </c>
      <c r="H12" s="299">
        <v>0</v>
      </c>
      <c r="I12" s="299">
        <v>0</v>
      </c>
      <c r="J12" s="132">
        <v>0</v>
      </c>
      <c r="K12" s="299">
        <v>0</v>
      </c>
      <c r="L12" s="299">
        <v>0</v>
      </c>
      <c r="M12" s="136">
        <v>0</v>
      </c>
    </row>
    <row r="13" spans="1:13" outlineLevel="2" x14ac:dyDescent="0.25">
      <c r="A13" s="750"/>
      <c r="B13" s="751"/>
      <c r="C13" s="751"/>
      <c r="D13" s="69" t="s">
        <v>33</v>
      </c>
      <c r="E13" s="66">
        <f t="shared" si="4"/>
        <v>0</v>
      </c>
      <c r="F13" s="131">
        <v>0</v>
      </c>
      <c r="G13" s="132">
        <v>0</v>
      </c>
      <c r="H13" s="299">
        <v>0</v>
      </c>
      <c r="I13" s="299">
        <v>0</v>
      </c>
      <c r="J13" s="132">
        <v>0</v>
      </c>
      <c r="K13" s="299">
        <v>0</v>
      </c>
      <c r="L13" s="299">
        <v>0</v>
      </c>
      <c r="M13" s="136">
        <v>0</v>
      </c>
    </row>
    <row r="14" spans="1:13" ht="15.75" outlineLevel="2" thickBot="1" x14ac:dyDescent="0.3">
      <c r="A14" s="750"/>
      <c r="B14" s="751"/>
      <c r="C14" s="751"/>
      <c r="D14" s="70" t="s">
        <v>34</v>
      </c>
      <c r="E14" s="66">
        <f t="shared" si="4"/>
        <v>0</v>
      </c>
      <c r="F14" s="133">
        <v>0</v>
      </c>
      <c r="G14" s="134">
        <v>0</v>
      </c>
      <c r="H14" s="300">
        <v>0</v>
      </c>
      <c r="I14" s="300">
        <v>0</v>
      </c>
      <c r="J14" s="134">
        <v>0</v>
      </c>
      <c r="K14" s="300">
        <v>0</v>
      </c>
      <c r="L14" s="300">
        <v>0</v>
      </c>
      <c r="M14" s="137">
        <v>0</v>
      </c>
    </row>
    <row r="15" spans="1:13" outlineLevel="2" x14ac:dyDescent="0.25">
      <c r="A15" s="750" t="s">
        <v>74</v>
      </c>
      <c r="B15" s="751" t="s">
        <v>80</v>
      </c>
      <c r="C15" s="751">
        <v>633013</v>
      </c>
      <c r="D15" s="68" t="s">
        <v>25</v>
      </c>
      <c r="E15" s="65">
        <f t="shared" si="4"/>
        <v>0</v>
      </c>
      <c r="F15" s="129">
        <v>0</v>
      </c>
      <c r="G15" s="130">
        <v>0</v>
      </c>
      <c r="H15" s="298">
        <v>0</v>
      </c>
      <c r="I15" s="298">
        <v>0</v>
      </c>
      <c r="J15" s="130">
        <v>0</v>
      </c>
      <c r="K15" s="298">
        <v>0</v>
      </c>
      <c r="L15" s="298">
        <v>0</v>
      </c>
      <c r="M15" s="135">
        <v>0</v>
      </c>
    </row>
    <row r="16" spans="1:13" outlineLevel="2" x14ac:dyDescent="0.25">
      <c r="A16" s="750"/>
      <c r="B16" s="751"/>
      <c r="C16" s="751"/>
      <c r="D16" s="69" t="s">
        <v>26</v>
      </c>
      <c r="E16" s="66">
        <f t="shared" si="4"/>
        <v>0</v>
      </c>
      <c r="F16" s="131">
        <v>0</v>
      </c>
      <c r="G16" s="132">
        <v>0</v>
      </c>
      <c r="H16" s="299">
        <v>0</v>
      </c>
      <c r="I16" s="299">
        <v>0</v>
      </c>
      <c r="J16" s="132">
        <v>0</v>
      </c>
      <c r="K16" s="299">
        <v>0</v>
      </c>
      <c r="L16" s="299">
        <v>0</v>
      </c>
      <c r="M16" s="136">
        <v>0</v>
      </c>
    </row>
    <row r="17" spans="1:13" outlineLevel="2" x14ac:dyDescent="0.25">
      <c r="A17" s="750"/>
      <c r="B17" s="751"/>
      <c r="C17" s="751"/>
      <c r="D17" s="69" t="s">
        <v>27</v>
      </c>
      <c r="E17" s="66">
        <f t="shared" si="4"/>
        <v>0</v>
      </c>
      <c r="F17" s="131">
        <v>0</v>
      </c>
      <c r="G17" s="132">
        <v>0</v>
      </c>
      <c r="H17" s="299">
        <v>0</v>
      </c>
      <c r="I17" s="299">
        <v>0</v>
      </c>
      <c r="J17" s="132">
        <v>0</v>
      </c>
      <c r="K17" s="299">
        <v>0</v>
      </c>
      <c r="L17" s="299">
        <v>0</v>
      </c>
      <c r="M17" s="136">
        <v>0</v>
      </c>
    </row>
    <row r="18" spans="1:13" outlineLevel="2" x14ac:dyDescent="0.25">
      <c r="A18" s="750"/>
      <c r="B18" s="751"/>
      <c r="C18" s="751"/>
      <c r="D18" s="69" t="s">
        <v>28</v>
      </c>
      <c r="E18" s="66">
        <f t="shared" si="4"/>
        <v>0</v>
      </c>
      <c r="F18" s="131">
        <v>0</v>
      </c>
      <c r="G18" s="132">
        <v>0</v>
      </c>
      <c r="H18" s="299">
        <v>0</v>
      </c>
      <c r="I18" s="299">
        <v>0</v>
      </c>
      <c r="J18" s="132">
        <v>0</v>
      </c>
      <c r="K18" s="299">
        <v>0</v>
      </c>
      <c r="L18" s="299">
        <v>0</v>
      </c>
      <c r="M18" s="136">
        <v>0</v>
      </c>
    </row>
    <row r="19" spans="1:13" outlineLevel="2" x14ac:dyDescent="0.25">
      <c r="A19" s="750"/>
      <c r="B19" s="751"/>
      <c r="C19" s="751"/>
      <c r="D19" s="69" t="s">
        <v>29</v>
      </c>
      <c r="E19" s="66">
        <f t="shared" si="4"/>
        <v>0</v>
      </c>
      <c r="F19" s="131">
        <v>0</v>
      </c>
      <c r="G19" s="132">
        <v>0</v>
      </c>
      <c r="H19" s="299">
        <v>0</v>
      </c>
      <c r="I19" s="299">
        <v>0</v>
      </c>
      <c r="J19" s="132">
        <v>0</v>
      </c>
      <c r="K19" s="299">
        <v>0</v>
      </c>
      <c r="L19" s="299">
        <v>0</v>
      </c>
      <c r="M19" s="136">
        <v>0</v>
      </c>
    </row>
    <row r="20" spans="1:13" outlineLevel="2" x14ac:dyDescent="0.25">
      <c r="A20" s="750"/>
      <c r="B20" s="751"/>
      <c r="C20" s="751"/>
      <c r="D20" s="69" t="s">
        <v>30</v>
      </c>
      <c r="E20" s="66">
        <f t="shared" si="4"/>
        <v>0</v>
      </c>
      <c r="F20" s="131">
        <v>0</v>
      </c>
      <c r="G20" s="132">
        <v>0</v>
      </c>
      <c r="H20" s="299">
        <v>0</v>
      </c>
      <c r="I20" s="299">
        <v>0</v>
      </c>
      <c r="J20" s="132">
        <v>0</v>
      </c>
      <c r="K20" s="299">
        <v>0</v>
      </c>
      <c r="L20" s="299">
        <v>0</v>
      </c>
      <c r="M20" s="136">
        <v>0</v>
      </c>
    </row>
    <row r="21" spans="1:13" outlineLevel="2" x14ac:dyDescent="0.25">
      <c r="A21" s="750"/>
      <c r="B21" s="751"/>
      <c r="C21" s="751"/>
      <c r="D21" s="69" t="s">
        <v>31</v>
      </c>
      <c r="E21" s="66">
        <f t="shared" si="4"/>
        <v>0</v>
      </c>
      <c r="F21" s="131">
        <v>0</v>
      </c>
      <c r="G21" s="132">
        <v>0</v>
      </c>
      <c r="H21" s="299">
        <v>0</v>
      </c>
      <c r="I21" s="299">
        <v>0</v>
      </c>
      <c r="J21" s="132">
        <v>0</v>
      </c>
      <c r="K21" s="299">
        <v>0</v>
      </c>
      <c r="L21" s="299">
        <v>0</v>
      </c>
      <c r="M21" s="136">
        <v>0</v>
      </c>
    </row>
    <row r="22" spans="1:13" outlineLevel="2" x14ac:dyDescent="0.25">
      <c r="A22" s="750"/>
      <c r="B22" s="751"/>
      <c r="C22" s="751"/>
      <c r="D22" s="69" t="s">
        <v>32</v>
      </c>
      <c r="E22" s="66">
        <f t="shared" si="4"/>
        <v>0</v>
      </c>
      <c r="F22" s="131">
        <v>0</v>
      </c>
      <c r="G22" s="132">
        <v>0</v>
      </c>
      <c r="H22" s="299">
        <v>0</v>
      </c>
      <c r="I22" s="299">
        <v>0</v>
      </c>
      <c r="J22" s="132">
        <v>0</v>
      </c>
      <c r="K22" s="299">
        <v>0</v>
      </c>
      <c r="L22" s="299">
        <v>0</v>
      </c>
      <c r="M22" s="136">
        <v>0</v>
      </c>
    </row>
    <row r="23" spans="1:13" outlineLevel="2" x14ac:dyDescent="0.25">
      <c r="A23" s="750"/>
      <c r="B23" s="751"/>
      <c r="C23" s="751"/>
      <c r="D23" s="69" t="s">
        <v>33</v>
      </c>
      <c r="E23" s="66">
        <f t="shared" si="4"/>
        <v>0</v>
      </c>
      <c r="F23" s="131">
        <v>0</v>
      </c>
      <c r="G23" s="132">
        <v>0</v>
      </c>
      <c r="H23" s="299">
        <v>0</v>
      </c>
      <c r="I23" s="299">
        <v>0</v>
      </c>
      <c r="J23" s="132">
        <v>0</v>
      </c>
      <c r="K23" s="299">
        <v>0</v>
      </c>
      <c r="L23" s="299">
        <v>0</v>
      </c>
      <c r="M23" s="136">
        <v>0</v>
      </c>
    </row>
    <row r="24" spans="1:13" ht="15.75" outlineLevel="2" thickBot="1" x14ac:dyDescent="0.3">
      <c r="A24" s="750"/>
      <c r="B24" s="751"/>
      <c r="C24" s="751"/>
      <c r="D24" s="70" t="s">
        <v>34</v>
      </c>
      <c r="E24" s="67">
        <f t="shared" si="4"/>
        <v>0</v>
      </c>
      <c r="F24" s="133">
        <v>0</v>
      </c>
      <c r="G24" s="134">
        <v>0</v>
      </c>
      <c r="H24" s="300">
        <v>0</v>
      </c>
      <c r="I24" s="300">
        <v>0</v>
      </c>
      <c r="J24" s="134">
        <v>0</v>
      </c>
      <c r="K24" s="300">
        <v>0</v>
      </c>
      <c r="L24" s="300">
        <v>0</v>
      </c>
      <c r="M24" s="137">
        <v>0</v>
      </c>
    </row>
    <row r="25" spans="1:13" ht="15.75" outlineLevel="1" thickBot="1" x14ac:dyDescent="0.3">
      <c r="A25" s="17" t="s">
        <v>109</v>
      </c>
      <c r="B25" s="17"/>
      <c r="C25" s="17"/>
      <c r="D25" s="28"/>
      <c r="E25" s="143">
        <f t="shared" ref="E25:M25" si="5">SUM(E26:E55)</f>
        <v>2928203.68</v>
      </c>
      <c r="F25" s="144">
        <f t="shared" si="5"/>
        <v>494738.50999999995</v>
      </c>
      <c r="G25" s="144">
        <f t="shared" si="5"/>
        <v>395570.54000000004</v>
      </c>
      <c r="H25" s="301">
        <f t="shared" si="5"/>
        <v>247076.57</v>
      </c>
      <c r="I25" s="301">
        <f t="shared" si="5"/>
        <v>588986.53</v>
      </c>
      <c r="J25" s="144">
        <f t="shared" ref="J25:L25" si="6">SUM(J26:J55)</f>
        <v>399932.57000000007</v>
      </c>
      <c r="K25" s="301">
        <f t="shared" si="6"/>
        <v>332696.44999999995</v>
      </c>
      <c r="L25" s="301">
        <f t="shared" si="6"/>
        <v>469202.51</v>
      </c>
      <c r="M25" s="145">
        <f t="shared" si="5"/>
        <v>0</v>
      </c>
    </row>
    <row r="26" spans="1:13" outlineLevel="2" x14ac:dyDescent="0.25">
      <c r="A26" s="750" t="s">
        <v>78</v>
      </c>
      <c r="B26" s="751" t="s">
        <v>75</v>
      </c>
      <c r="C26" s="751">
        <v>711003</v>
      </c>
      <c r="D26" s="68" t="s">
        <v>25</v>
      </c>
      <c r="E26" s="72">
        <f t="shared" ref="E26:E55" si="7">SUM(F26:M26)</f>
        <v>329399.99</v>
      </c>
      <c r="F26" s="120">
        <v>48428.57</v>
      </c>
      <c r="G26" s="121">
        <v>48428.57</v>
      </c>
      <c r="H26" s="302">
        <v>38828.57</v>
      </c>
      <c r="I26" s="302">
        <v>48428.57</v>
      </c>
      <c r="J26" s="121">
        <v>48428.57</v>
      </c>
      <c r="K26" s="302">
        <v>48428.57</v>
      </c>
      <c r="L26" s="302">
        <v>48428.57</v>
      </c>
      <c r="M26" s="122">
        <v>0</v>
      </c>
    </row>
    <row r="27" spans="1:13" outlineLevel="2" x14ac:dyDescent="0.25">
      <c r="A27" s="750"/>
      <c r="B27" s="751"/>
      <c r="C27" s="751"/>
      <c r="D27" s="69" t="s">
        <v>26</v>
      </c>
      <c r="E27" s="73">
        <f t="shared" si="7"/>
        <v>0</v>
      </c>
      <c r="F27" s="123">
        <v>0</v>
      </c>
      <c r="G27" s="124">
        <v>0</v>
      </c>
      <c r="H27" s="303">
        <v>0</v>
      </c>
      <c r="I27" s="303">
        <v>0</v>
      </c>
      <c r="J27" s="303">
        <v>0</v>
      </c>
      <c r="K27" s="303">
        <v>0</v>
      </c>
      <c r="L27" s="303">
        <v>0</v>
      </c>
      <c r="M27" s="125">
        <v>0</v>
      </c>
    </row>
    <row r="28" spans="1:13" outlineLevel="2" x14ac:dyDescent="0.25">
      <c r="A28" s="750"/>
      <c r="B28" s="751"/>
      <c r="C28" s="751"/>
      <c r="D28" s="69" t="s">
        <v>27</v>
      </c>
      <c r="E28" s="73">
        <f t="shared" si="7"/>
        <v>0</v>
      </c>
      <c r="F28" s="123">
        <v>0</v>
      </c>
      <c r="G28" s="124">
        <v>0</v>
      </c>
      <c r="H28" s="303">
        <v>0</v>
      </c>
      <c r="I28" s="303">
        <v>0</v>
      </c>
      <c r="J28" s="303">
        <v>0</v>
      </c>
      <c r="K28" s="303">
        <v>0</v>
      </c>
      <c r="L28" s="303">
        <v>0</v>
      </c>
      <c r="M28" s="125">
        <v>0</v>
      </c>
    </row>
    <row r="29" spans="1:13" outlineLevel="2" x14ac:dyDescent="0.25">
      <c r="A29" s="750"/>
      <c r="B29" s="751"/>
      <c r="C29" s="751"/>
      <c r="D29" s="69" t="s">
        <v>28</v>
      </c>
      <c r="E29" s="73">
        <f t="shared" si="7"/>
        <v>0</v>
      </c>
      <c r="F29" s="123">
        <v>0</v>
      </c>
      <c r="G29" s="124">
        <v>0</v>
      </c>
      <c r="H29" s="303">
        <v>0</v>
      </c>
      <c r="I29" s="303">
        <v>0</v>
      </c>
      <c r="J29" s="124">
        <v>0</v>
      </c>
      <c r="K29" s="303">
        <v>0</v>
      </c>
      <c r="L29" s="303">
        <v>0</v>
      </c>
      <c r="M29" s="125">
        <v>0</v>
      </c>
    </row>
    <row r="30" spans="1:13" outlineLevel="2" x14ac:dyDescent="0.25">
      <c r="A30" s="750"/>
      <c r="B30" s="751"/>
      <c r="C30" s="751"/>
      <c r="D30" s="69" t="s">
        <v>29</v>
      </c>
      <c r="E30" s="73">
        <f t="shared" si="7"/>
        <v>0</v>
      </c>
      <c r="F30" s="123">
        <v>0</v>
      </c>
      <c r="G30" s="124">
        <v>0</v>
      </c>
      <c r="H30" s="303">
        <v>0</v>
      </c>
      <c r="I30" s="303">
        <v>0</v>
      </c>
      <c r="J30" s="124">
        <v>0</v>
      </c>
      <c r="K30" s="303">
        <v>0</v>
      </c>
      <c r="L30" s="303">
        <v>0</v>
      </c>
      <c r="M30" s="125">
        <v>0</v>
      </c>
    </row>
    <row r="31" spans="1:13" outlineLevel="2" x14ac:dyDescent="0.25">
      <c r="A31" s="750"/>
      <c r="B31" s="751"/>
      <c r="C31" s="751"/>
      <c r="D31" s="69" t="s">
        <v>30</v>
      </c>
      <c r="E31" s="73">
        <f t="shared" si="7"/>
        <v>0</v>
      </c>
      <c r="F31" s="123">
        <v>0</v>
      </c>
      <c r="G31" s="124">
        <v>0</v>
      </c>
      <c r="H31" s="303">
        <v>0</v>
      </c>
      <c r="I31" s="303">
        <v>0</v>
      </c>
      <c r="J31" s="124">
        <v>0</v>
      </c>
      <c r="K31" s="303">
        <v>0</v>
      </c>
      <c r="L31" s="303">
        <v>0</v>
      </c>
      <c r="M31" s="125">
        <v>0</v>
      </c>
    </row>
    <row r="32" spans="1:13" outlineLevel="2" x14ac:dyDescent="0.25">
      <c r="A32" s="750"/>
      <c r="B32" s="751"/>
      <c r="C32" s="751"/>
      <c r="D32" s="69" t="s">
        <v>31</v>
      </c>
      <c r="E32" s="73">
        <f t="shared" si="7"/>
        <v>0</v>
      </c>
      <c r="F32" s="123">
        <v>0</v>
      </c>
      <c r="G32" s="124">
        <v>0</v>
      </c>
      <c r="H32" s="303">
        <v>0</v>
      </c>
      <c r="I32" s="303">
        <v>0</v>
      </c>
      <c r="J32" s="124">
        <v>0</v>
      </c>
      <c r="K32" s="303">
        <v>0</v>
      </c>
      <c r="L32" s="303">
        <v>0</v>
      </c>
      <c r="M32" s="125">
        <v>0</v>
      </c>
    </row>
    <row r="33" spans="1:13" outlineLevel="2" x14ac:dyDescent="0.25">
      <c r="A33" s="750"/>
      <c r="B33" s="751"/>
      <c r="C33" s="751"/>
      <c r="D33" s="69" t="s">
        <v>32</v>
      </c>
      <c r="E33" s="73">
        <f t="shared" si="7"/>
        <v>0</v>
      </c>
      <c r="F33" s="123">
        <v>0</v>
      </c>
      <c r="G33" s="124">
        <v>0</v>
      </c>
      <c r="H33" s="303">
        <v>0</v>
      </c>
      <c r="I33" s="303">
        <v>0</v>
      </c>
      <c r="J33" s="124">
        <v>0</v>
      </c>
      <c r="K33" s="303">
        <v>0</v>
      </c>
      <c r="L33" s="303">
        <v>0</v>
      </c>
      <c r="M33" s="125">
        <v>0</v>
      </c>
    </row>
    <row r="34" spans="1:13" outlineLevel="2" x14ac:dyDescent="0.25">
      <c r="A34" s="750"/>
      <c r="B34" s="751"/>
      <c r="C34" s="751"/>
      <c r="D34" s="69" t="s">
        <v>33</v>
      </c>
      <c r="E34" s="73">
        <f t="shared" si="7"/>
        <v>0</v>
      </c>
      <c r="F34" s="123">
        <v>0</v>
      </c>
      <c r="G34" s="124">
        <v>0</v>
      </c>
      <c r="H34" s="303">
        <v>0</v>
      </c>
      <c r="I34" s="303">
        <v>0</v>
      </c>
      <c r="J34" s="124">
        <v>0</v>
      </c>
      <c r="K34" s="303">
        <v>0</v>
      </c>
      <c r="L34" s="303">
        <v>0</v>
      </c>
      <c r="M34" s="125">
        <v>0</v>
      </c>
    </row>
    <row r="35" spans="1:13" ht="15.75" outlineLevel="2" thickBot="1" x14ac:dyDescent="0.3">
      <c r="A35" s="750"/>
      <c r="B35" s="751"/>
      <c r="C35" s="751"/>
      <c r="D35" s="70" t="s">
        <v>34</v>
      </c>
      <c r="E35" s="74">
        <f t="shared" si="7"/>
        <v>0</v>
      </c>
      <c r="F35" s="126">
        <v>0</v>
      </c>
      <c r="G35" s="127">
        <v>0</v>
      </c>
      <c r="H35" s="304">
        <v>0</v>
      </c>
      <c r="I35" s="304">
        <v>0</v>
      </c>
      <c r="J35" s="127">
        <v>0</v>
      </c>
      <c r="K35" s="304">
        <v>0</v>
      </c>
      <c r="L35" s="304">
        <v>0</v>
      </c>
      <c r="M35" s="128">
        <v>0</v>
      </c>
    </row>
    <row r="36" spans="1:13" outlineLevel="2" x14ac:dyDescent="0.25">
      <c r="A36" s="750" t="s">
        <v>78</v>
      </c>
      <c r="B36" s="751" t="s">
        <v>80</v>
      </c>
      <c r="C36" s="751">
        <v>633013</v>
      </c>
      <c r="D36" s="68" t="s">
        <v>25</v>
      </c>
      <c r="E36" s="73">
        <f t="shared" si="7"/>
        <v>699430.97</v>
      </c>
      <c r="F36" s="120">
        <f>19404.78*5</f>
        <v>97023.9</v>
      </c>
      <c r="G36" s="120">
        <f>18270.63*5</f>
        <v>91353.150000000009</v>
      </c>
      <c r="H36" s="120">
        <f>13015.5*5</f>
        <v>65077.5</v>
      </c>
      <c r="I36" s="120">
        <f>23502.52*5</f>
        <v>117512.6</v>
      </c>
      <c r="J36" s="120">
        <f>17575.2*5</f>
        <v>87876</v>
      </c>
      <c r="K36" s="120">
        <f>16721.64*6</f>
        <v>100329.84</v>
      </c>
      <c r="L36" s="120">
        <f>23376.33*6</f>
        <v>140257.98000000001</v>
      </c>
      <c r="M36" s="122">
        <v>0</v>
      </c>
    </row>
    <row r="37" spans="1:13" outlineLevel="2" x14ac:dyDescent="0.25">
      <c r="A37" s="750"/>
      <c r="B37" s="751"/>
      <c r="C37" s="751"/>
      <c r="D37" s="69" t="s">
        <v>26</v>
      </c>
      <c r="E37" s="73">
        <f t="shared" si="7"/>
        <v>1552662.06</v>
      </c>
      <c r="F37" s="123">
        <f>19404.78*12</f>
        <v>232857.36</v>
      </c>
      <c r="G37" s="123">
        <f>18270.63*12</f>
        <v>219247.56</v>
      </c>
      <c r="H37" s="123">
        <f>13015.5*11</f>
        <v>143170.5</v>
      </c>
      <c r="I37" s="123">
        <f>23502.52*12</f>
        <v>282030.24</v>
      </c>
      <c r="J37" s="123">
        <f>17575.2*12</f>
        <v>210902.40000000002</v>
      </c>
      <c r="K37" s="123">
        <f>16721.64*11</f>
        <v>183938.03999999998</v>
      </c>
      <c r="L37" s="123">
        <f>23376.33*12</f>
        <v>280515.96000000002</v>
      </c>
      <c r="M37" s="125">
        <v>0</v>
      </c>
    </row>
    <row r="38" spans="1:13" outlineLevel="2" x14ac:dyDescent="0.25">
      <c r="A38" s="750"/>
      <c r="B38" s="751"/>
      <c r="C38" s="751"/>
      <c r="D38" s="69" t="s">
        <v>27</v>
      </c>
      <c r="E38" s="73">
        <f t="shared" si="7"/>
        <v>346710.66000000003</v>
      </c>
      <c r="F38" s="123">
        <f>19404.78*6</f>
        <v>116428.68</v>
      </c>
      <c r="G38" s="123">
        <f>18270.63*2</f>
        <v>36541.26</v>
      </c>
      <c r="H38" s="123">
        <v>0</v>
      </c>
      <c r="I38" s="123">
        <f>23502.52*6</f>
        <v>141015.12</v>
      </c>
      <c r="J38" s="123">
        <f>17575.2*3</f>
        <v>52725.600000000006</v>
      </c>
      <c r="K38" s="123">
        <v>0</v>
      </c>
      <c r="L38" s="123">
        <v>0</v>
      </c>
      <c r="M38" s="125">
        <v>0</v>
      </c>
    </row>
    <row r="39" spans="1:13" outlineLevel="2" x14ac:dyDescent="0.25">
      <c r="A39" s="750"/>
      <c r="B39" s="751"/>
      <c r="C39" s="751"/>
      <c r="D39" s="69" t="s">
        <v>28</v>
      </c>
      <c r="E39" s="73">
        <f t="shared" si="7"/>
        <v>0</v>
      </c>
      <c r="F39" s="123">
        <v>0</v>
      </c>
      <c r="G39" s="124">
        <v>0</v>
      </c>
      <c r="H39" s="303">
        <v>0</v>
      </c>
      <c r="I39" s="303">
        <v>0</v>
      </c>
      <c r="J39" s="124">
        <v>0</v>
      </c>
      <c r="K39" s="303">
        <v>0</v>
      </c>
      <c r="L39" s="303">
        <v>0</v>
      </c>
      <c r="M39" s="125">
        <v>0</v>
      </c>
    </row>
    <row r="40" spans="1:13" outlineLevel="2" x14ac:dyDescent="0.25">
      <c r="A40" s="750"/>
      <c r="B40" s="751"/>
      <c r="C40" s="751"/>
      <c r="D40" s="69" t="s">
        <v>29</v>
      </c>
      <c r="E40" s="73">
        <f t="shared" si="7"/>
        <v>0</v>
      </c>
      <c r="F40" s="123">
        <v>0</v>
      </c>
      <c r="G40" s="124">
        <v>0</v>
      </c>
      <c r="H40" s="303">
        <v>0</v>
      </c>
      <c r="I40" s="303">
        <v>0</v>
      </c>
      <c r="J40" s="124">
        <v>0</v>
      </c>
      <c r="K40" s="303">
        <v>0</v>
      </c>
      <c r="L40" s="303">
        <v>0</v>
      </c>
      <c r="M40" s="125">
        <v>0</v>
      </c>
    </row>
    <row r="41" spans="1:13" outlineLevel="2" x14ac:dyDescent="0.25">
      <c r="A41" s="750"/>
      <c r="B41" s="751"/>
      <c r="C41" s="751"/>
      <c r="D41" s="69" t="s">
        <v>30</v>
      </c>
      <c r="E41" s="73">
        <f t="shared" si="7"/>
        <v>0</v>
      </c>
      <c r="F41" s="123">
        <v>0</v>
      </c>
      <c r="G41" s="124">
        <v>0</v>
      </c>
      <c r="H41" s="303">
        <v>0</v>
      </c>
      <c r="I41" s="303">
        <v>0</v>
      </c>
      <c r="J41" s="124">
        <v>0</v>
      </c>
      <c r="K41" s="303">
        <v>0</v>
      </c>
      <c r="L41" s="303">
        <v>0</v>
      </c>
      <c r="M41" s="125">
        <v>0</v>
      </c>
    </row>
    <row r="42" spans="1:13" outlineLevel="2" x14ac:dyDescent="0.25">
      <c r="A42" s="750"/>
      <c r="B42" s="751"/>
      <c r="C42" s="751"/>
      <c r="D42" s="69" t="s">
        <v>31</v>
      </c>
      <c r="E42" s="73">
        <f t="shared" si="7"/>
        <v>0</v>
      </c>
      <c r="F42" s="123">
        <v>0</v>
      </c>
      <c r="G42" s="124">
        <v>0</v>
      </c>
      <c r="H42" s="303">
        <v>0</v>
      </c>
      <c r="I42" s="303">
        <v>0</v>
      </c>
      <c r="J42" s="124">
        <v>0</v>
      </c>
      <c r="K42" s="303">
        <v>0</v>
      </c>
      <c r="L42" s="303">
        <v>0</v>
      </c>
      <c r="M42" s="125">
        <v>0</v>
      </c>
    </row>
    <row r="43" spans="1:13" outlineLevel="2" x14ac:dyDescent="0.25">
      <c r="A43" s="750"/>
      <c r="B43" s="751"/>
      <c r="C43" s="751"/>
      <c r="D43" s="69" t="s">
        <v>32</v>
      </c>
      <c r="E43" s="73">
        <f t="shared" si="7"/>
        <v>0</v>
      </c>
      <c r="F43" s="123">
        <v>0</v>
      </c>
      <c r="G43" s="124">
        <v>0</v>
      </c>
      <c r="H43" s="303">
        <v>0</v>
      </c>
      <c r="I43" s="303">
        <v>0</v>
      </c>
      <c r="J43" s="124">
        <v>0</v>
      </c>
      <c r="K43" s="303">
        <v>0</v>
      </c>
      <c r="L43" s="303">
        <v>0</v>
      </c>
      <c r="M43" s="125">
        <v>0</v>
      </c>
    </row>
    <row r="44" spans="1:13" outlineLevel="2" x14ac:dyDescent="0.25">
      <c r="A44" s="750"/>
      <c r="B44" s="751"/>
      <c r="C44" s="751"/>
      <c r="D44" s="69" t="s">
        <v>33</v>
      </c>
      <c r="E44" s="73">
        <f t="shared" si="7"/>
        <v>0</v>
      </c>
      <c r="F44" s="123">
        <v>0</v>
      </c>
      <c r="G44" s="124">
        <v>0</v>
      </c>
      <c r="H44" s="303">
        <v>0</v>
      </c>
      <c r="I44" s="303">
        <v>0</v>
      </c>
      <c r="J44" s="124">
        <v>0</v>
      </c>
      <c r="K44" s="303">
        <v>0</v>
      </c>
      <c r="L44" s="303">
        <v>0</v>
      </c>
      <c r="M44" s="125">
        <v>0</v>
      </c>
    </row>
    <row r="45" spans="1:13" ht="15.75" outlineLevel="2" thickBot="1" x14ac:dyDescent="0.3">
      <c r="A45" s="750"/>
      <c r="B45" s="751"/>
      <c r="C45" s="751"/>
      <c r="D45" s="70" t="s">
        <v>34</v>
      </c>
      <c r="E45" s="74">
        <f t="shared" si="7"/>
        <v>0</v>
      </c>
      <c r="F45" s="126">
        <v>0</v>
      </c>
      <c r="G45" s="127">
        <v>0</v>
      </c>
      <c r="H45" s="304">
        <v>0</v>
      </c>
      <c r="I45" s="304">
        <v>0</v>
      </c>
      <c r="J45" s="127">
        <v>0</v>
      </c>
      <c r="K45" s="304">
        <v>0</v>
      </c>
      <c r="L45" s="304">
        <v>0</v>
      </c>
      <c r="M45" s="128">
        <v>0</v>
      </c>
    </row>
    <row r="46" spans="1:13" outlineLevel="2" x14ac:dyDescent="0.25">
      <c r="A46" s="750" t="s">
        <v>79</v>
      </c>
      <c r="B46" s="751" t="s">
        <v>80</v>
      </c>
      <c r="C46" s="751">
        <v>637001</v>
      </c>
      <c r="D46" s="68" t="s">
        <v>25</v>
      </c>
      <c r="E46" s="73">
        <f t="shared" si="7"/>
        <v>0</v>
      </c>
      <c r="F46" s="120">
        <v>0</v>
      </c>
      <c r="G46" s="121">
        <v>0</v>
      </c>
      <c r="H46" s="302">
        <v>0</v>
      </c>
      <c r="I46" s="302">
        <v>0</v>
      </c>
      <c r="J46" s="121">
        <v>0</v>
      </c>
      <c r="K46" s="302">
        <v>0</v>
      </c>
      <c r="L46" s="302">
        <v>0</v>
      </c>
      <c r="M46" s="122">
        <v>0</v>
      </c>
    </row>
    <row r="47" spans="1:13" outlineLevel="2" x14ac:dyDescent="0.25">
      <c r="A47" s="750"/>
      <c r="B47" s="751"/>
      <c r="C47" s="751"/>
      <c r="D47" s="69" t="s">
        <v>26</v>
      </c>
      <c r="E47" s="73">
        <f t="shared" si="7"/>
        <v>0</v>
      </c>
      <c r="F47" s="123"/>
      <c r="G47" s="124"/>
      <c r="H47" s="303">
        <v>0</v>
      </c>
      <c r="I47" s="303">
        <v>0</v>
      </c>
      <c r="J47" s="124"/>
      <c r="K47" s="303">
        <v>0</v>
      </c>
      <c r="L47" s="303">
        <v>0</v>
      </c>
      <c r="M47" s="125">
        <v>0</v>
      </c>
    </row>
    <row r="48" spans="1:13" outlineLevel="2" x14ac:dyDescent="0.25">
      <c r="A48" s="750"/>
      <c r="B48" s="751"/>
      <c r="C48" s="751"/>
      <c r="D48" s="69" t="s">
        <v>27</v>
      </c>
      <c r="E48" s="73">
        <f t="shared" si="7"/>
        <v>0</v>
      </c>
      <c r="F48" s="123">
        <v>0</v>
      </c>
      <c r="G48" s="124">
        <v>0</v>
      </c>
      <c r="H48" s="303">
        <v>0</v>
      </c>
      <c r="I48" s="303">
        <v>0</v>
      </c>
      <c r="J48" s="124">
        <v>0</v>
      </c>
      <c r="K48" s="303">
        <v>0</v>
      </c>
      <c r="L48" s="303">
        <v>0</v>
      </c>
      <c r="M48" s="125">
        <v>0</v>
      </c>
    </row>
    <row r="49" spans="1:13" outlineLevel="2" x14ac:dyDescent="0.25">
      <c r="A49" s="750"/>
      <c r="B49" s="751"/>
      <c r="C49" s="751"/>
      <c r="D49" s="69" t="s">
        <v>28</v>
      </c>
      <c r="E49" s="73">
        <f t="shared" si="7"/>
        <v>0</v>
      </c>
      <c r="F49" s="123">
        <v>0</v>
      </c>
      <c r="G49" s="124">
        <v>0</v>
      </c>
      <c r="H49" s="303">
        <v>0</v>
      </c>
      <c r="I49" s="303">
        <v>0</v>
      </c>
      <c r="J49" s="124">
        <v>0</v>
      </c>
      <c r="K49" s="303">
        <v>0</v>
      </c>
      <c r="L49" s="303">
        <v>0</v>
      </c>
      <c r="M49" s="125">
        <v>0</v>
      </c>
    </row>
    <row r="50" spans="1:13" outlineLevel="2" x14ac:dyDescent="0.25">
      <c r="A50" s="750"/>
      <c r="B50" s="751"/>
      <c r="C50" s="751"/>
      <c r="D50" s="69" t="s">
        <v>29</v>
      </c>
      <c r="E50" s="73">
        <f t="shared" si="7"/>
        <v>0</v>
      </c>
      <c r="F50" s="123">
        <v>0</v>
      </c>
      <c r="G50" s="124">
        <v>0</v>
      </c>
      <c r="H50" s="303">
        <v>0</v>
      </c>
      <c r="I50" s="303">
        <v>0</v>
      </c>
      <c r="J50" s="124">
        <v>0</v>
      </c>
      <c r="K50" s="303">
        <v>0</v>
      </c>
      <c r="L50" s="303">
        <v>0</v>
      </c>
      <c r="M50" s="125">
        <v>0</v>
      </c>
    </row>
    <row r="51" spans="1:13" outlineLevel="2" x14ac:dyDescent="0.25">
      <c r="A51" s="750"/>
      <c r="B51" s="751"/>
      <c r="C51" s="751"/>
      <c r="D51" s="69" t="s">
        <v>30</v>
      </c>
      <c r="E51" s="73">
        <f t="shared" si="7"/>
        <v>0</v>
      </c>
      <c r="F51" s="123">
        <v>0</v>
      </c>
      <c r="G51" s="124">
        <v>0</v>
      </c>
      <c r="H51" s="303">
        <v>0</v>
      </c>
      <c r="I51" s="303">
        <v>0</v>
      </c>
      <c r="J51" s="124">
        <v>0</v>
      </c>
      <c r="K51" s="303">
        <v>0</v>
      </c>
      <c r="L51" s="303">
        <v>0</v>
      </c>
      <c r="M51" s="125">
        <v>0</v>
      </c>
    </row>
    <row r="52" spans="1:13" outlineLevel="2" x14ac:dyDescent="0.25">
      <c r="A52" s="750"/>
      <c r="B52" s="751"/>
      <c r="C52" s="751"/>
      <c r="D52" s="69" t="s">
        <v>31</v>
      </c>
      <c r="E52" s="73">
        <f t="shared" si="7"/>
        <v>0</v>
      </c>
      <c r="F52" s="123">
        <v>0</v>
      </c>
      <c r="G52" s="124">
        <v>0</v>
      </c>
      <c r="H52" s="303">
        <v>0</v>
      </c>
      <c r="I52" s="303">
        <v>0</v>
      </c>
      <c r="J52" s="124">
        <v>0</v>
      </c>
      <c r="K52" s="303">
        <v>0</v>
      </c>
      <c r="L52" s="303">
        <v>0</v>
      </c>
      <c r="M52" s="125">
        <v>0</v>
      </c>
    </row>
    <row r="53" spans="1:13" outlineLevel="2" x14ac:dyDescent="0.25">
      <c r="A53" s="750"/>
      <c r="B53" s="751"/>
      <c r="C53" s="751"/>
      <c r="D53" s="69" t="s">
        <v>32</v>
      </c>
      <c r="E53" s="73">
        <f t="shared" si="7"/>
        <v>0</v>
      </c>
      <c r="F53" s="123">
        <v>0</v>
      </c>
      <c r="G53" s="124">
        <v>0</v>
      </c>
      <c r="H53" s="303">
        <v>0</v>
      </c>
      <c r="I53" s="303">
        <v>0</v>
      </c>
      <c r="J53" s="124">
        <v>0</v>
      </c>
      <c r="K53" s="303">
        <v>0</v>
      </c>
      <c r="L53" s="303">
        <v>0</v>
      </c>
      <c r="M53" s="125">
        <v>0</v>
      </c>
    </row>
    <row r="54" spans="1:13" outlineLevel="2" x14ac:dyDescent="0.25">
      <c r="A54" s="750"/>
      <c r="B54" s="751"/>
      <c r="C54" s="751"/>
      <c r="D54" s="69" t="s">
        <v>33</v>
      </c>
      <c r="E54" s="73">
        <f t="shared" si="7"/>
        <v>0</v>
      </c>
      <c r="F54" s="123">
        <v>0</v>
      </c>
      <c r="G54" s="124">
        <v>0</v>
      </c>
      <c r="H54" s="303">
        <v>0</v>
      </c>
      <c r="I54" s="303">
        <v>0</v>
      </c>
      <c r="J54" s="124">
        <v>0</v>
      </c>
      <c r="K54" s="303">
        <v>0</v>
      </c>
      <c r="L54" s="303">
        <v>0</v>
      </c>
      <c r="M54" s="125">
        <v>0</v>
      </c>
    </row>
    <row r="55" spans="1:13" ht="15.75" outlineLevel="2" thickBot="1" x14ac:dyDescent="0.3">
      <c r="A55" s="750"/>
      <c r="B55" s="751"/>
      <c r="C55" s="751"/>
      <c r="D55" s="69" t="s">
        <v>34</v>
      </c>
      <c r="E55" s="74">
        <f t="shared" si="7"/>
        <v>0</v>
      </c>
      <c r="F55" s="126">
        <v>0</v>
      </c>
      <c r="G55" s="127">
        <v>0</v>
      </c>
      <c r="H55" s="304">
        <v>0</v>
      </c>
      <c r="I55" s="304">
        <v>0</v>
      </c>
      <c r="J55" s="127">
        <v>0</v>
      </c>
      <c r="K55" s="304">
        <v>0</v>
      </c>
      <c r="L55" s="304">
        <v>0</v>
      </c>
      <c r="M55" s="128">
        <v>0</v>
      </c>
    </row>
    <row r="56" spans="1:13" ht="15.75" thickBot="1" x14ac:dyDescent="0.3">
      <c r="A56" s="748" t="s">
        <v>81</v>
      </c>
      <c r="B56" s="749"/>
      <c r="C56" s="749"/>
      <c r="D56" s="82"/>
      <c r="E56" s="78">
        <f t="shared" ref="E56:M56" si="8">E57+E78</f>
        <v>980000</v>
      </c>
      <c r="F56" s="79">
        <f t="shared" si="8"/>
        <v>140000</v>
      </c>
      <c r="G56" s="79">
        <f t="shared" si="8"/>
        <v>140000</v>
      </c>
      <c r="H56" s="297">
        <f t="shared" si="8"/>
        <v>140000</v>
      </c>
      <c r="I56" s="297">
        <f t="shared" si="8"/>
        <v>140000</v>
      </c>
      <c r="J56" s="79">
        <f t="shared" ref="J56:L56" si="9">J57+J78</f>
        <v>140000</v>
      </c>
      <c r="K56" s="297">
        <f t="shared" si="9"/>
        <v>140000</v>
      </c>
      <c r="L56" s="297">
        <f t="shared" si="9"/>
        <v>140000</v>
      </c>
      <c r="M56" s="80">
        <f t="shared" si="8"/>
        <v>0</v>
      </c>
    </row>
    <row r="57" spans="1:13" ht="15.75" outlineLevel="1" thickBot="1" x14ac:dyDescent="0.3">
      <c r="A57" s="17" t="s">
        <v>108</v>
      </c>
      <c r="B57" s="17"/>
      <c r="C57" s="17"/>
      <c r="D57" s="28"/>
      <c r="E57" s="138">
        <f t="shared" ref="E57:M57" si="10">SUM(E58:E77)</f>
        <v>0</v>
      </c>
      <c r="F57" s="139">
        <f t="shared" si="10"/>
        <v>0</v>
      </c>
      <c r="G57" s="139">
        <f t="shared" si="10"/>
        <v>0</v>
      </c>
      <c r="H57" s="305">
        <f t="shared" si="10"/>
        <v>0</v>
      </c>
      <c r="I57" s="305">
        <f t="shared" si="10"/>
        <v>0</v>
      </c>
      <c r="J57" s="139">
        <f t="shared" ref="J57:L57" si="11">SUM(J58:J77)</f>
        <v>0</v>
      </c>
      <c r="K57" s="305">
        <f t="shared" si="11"/>
        <v>0</v>
      </c>
      <c r="L57" s="305">
        <f t="shared" si="11"/>
        <v>0</v>
      </c>
      <c r="M57" s="36">
        <f t="shared" si="10"/>
        <v>0</v>
      </c>
    </row>
    <row r="58" spans="1:13" outlineLevel="2" x14ac:dyDescent="0.25">
      <c r="A58" s="750" t="s">
        <v>82</v>
      </c>
      <c r="B58" s="751" t="s">
        <v>83</v>
      </c>
      <c r="C58" s="751">
        <v>635009</v>
      </c>
      <c r="D58" s="68" t="s">
        <v>25</v>
      </c>
      <c r="E58" s="65">
        <f t="shared" ref="E58:E77" si="12">SUM(F58:M58)</f>
        <v>0</v>
      </c>
      <c r="F58" s="129">
        <v>0</v>
      </c>
      <c r="G58" s="130">
        <v>0</v>
      </c>
      <c r="H58" s="298"/>
      <c r="I58" s="298">
        <v>0</v>
      </c>
      <c r="J58" s="130">
        <v>0</v>
      </c>
      <c r="K58" s="298"/>
      <c r="L58" s="298">
        <v>0</v>
      </c>
      <c r="M58" s="135">
        <v>0</v>
      </c>
    </row>
    <row r="59" spans="1:13" outlineLevel="2" x14ac:dyDescent="0.25">
      <c r="A59" s="750"/>
      <c r="B59" s="751"/>
      <c r="C59" s="751"/>
      <c r="D59" s="69" t="s">
        <v>26</v>
      </c>
      <c r="E59" s="66">
        <f t="shared" si="12"/>
        <v>0</v>
      </c>
      <c r="F59" s="131">
        <v>0</v>
      </c>
      <c r="G59" s="132">
        <v>0</v>
      </c>
      <c r="H59" s="299"/>
      <c r="I59" s="299">
        <v>0</v>
      </c>
      <c r="J59" s="132">
        <v>0</v>
      </c>
      <c r="K59" s="299"/>
      <c r="L59" s="299">
        <v>0</v>
      </c>
      <c r="M59" s="136">
        <v>0</v>
      </c>
    </row>
    <row r="60" spans="1:13" outlineLevel="2" x14ac:dyDescent="0.25">
      <c r="A60" s="750"/>
      <c r="B60" s="751"/>
      <c r="C60" s="751"/>
      <c r="D60" s="69" t="s">
        <v>27</v>
      </c>
      <c r="E60" s="66">
        <f t="shared" si="12"/>
        <v>0</v>
      </c>
      <c r="F60" s="131">
        <v>0</v>
      </c>
      <c r="G60" s="132">
        <v>0</v>
      </c>
      <c r="H60" s="299"/>
      <c r="I60" s="299">
        <v>0</v>
      </c>
      <c r="J60" s="132">
        <v>0</v>
      </c>
      <c r="K60" s="299"/>
      <c r="L60" s="299">
        <v>0</v>
      </c>
      <c r="M60" s="136">
        <v>0</v>
      </c>
    </row>
    <row r="61" spans="1:13" outlineLevel="2" x14ac:dyDescent="0.25">
      <c r="A61" s="750"/>
      <c r="B61" s="751"/>
      <c r="C61" s="751"/>
      <c r="D61" s="69" t="s">
        <v>28</v>
      </c>
      <c r="E61" s="66">
        <f t="shared" si="12"/>
        <v>0</v>
      </c>
      <c r="F61" s="131">
        <v>0</v>
      </c>
      <c r="G61" s="132">
        <v>0</v>
      </c>
      <c r="H61" s="299"/>
      <c r="I61" s="299">
        <v>0</v>
      </c>
      <c r="J61" s="132">
        <v>0</v>
      </c>
      <c r="K61" s="299"/>
      <c r="L61" s="299">
        <v>0</v>
      </c>
      <c r="M61" s="136">
        <v>0</v>
      </c>
    </row>
    <row r="62" spans="1:13" outlineLevel="2" x14ac:dyDescent="0.25">
      <c r="A62" s="750"/>
      <c r="B62" s="751"/>
      <c r="C62" s="751"/>
      <c r="D62" s="69" t="s">
        <v>29</v>
      </c>
      <c r="E62" s="66">
        <f t="shared" si="12"/>
        <v>0</v>
      </c>
      <c r="F62" s="131">
        <v>0</v>
      </c>
      <c r="G62" s="132">
        <v>0</v>
      </c>
      <c r="H62" s="299"/>
      <c r="I62" s="299">
        <v>0</v>
      </c>
      <c r="J62" s="132">
        <v>0</v>
      </c>
      <c r="K62" s="299"/>
      <c r="L62" s="299">
        <v>0</v>
      </c>
      <c r="M62" s="136">
        <v>0</v>
      </c>
    </row>
    <row r="63" spans="1:13" outlineLevel="2" x14ac:dyDescent="0.25">
      <c r="A63" s="750"/>
      <c r="B63" s="751"/>
      <c r="C63" s="751"/>
      <c r="D63" s="69" t="s">
        <v>30</v>
      </c>
      <c r="E63" s="66">
        <f t="shared" si="12"/>
        <v>0</v>
      </c>
      <c r="F63" s="131">
        <v>0</v>
      </c>
      <c r="G63" s="132">
        <v>0</v>
      </c>
      <c r="H63" s="299"/>
      <c r="I63" s="299">
        <v>0</v>
      </c>
      <c r="J63" s="132">
        <v>0</v>
      </c>
      <c r="K63" s="299"/>
      <c r="L63" s="299">
        <v>0</v>
      </c>
      <c r="M63" s="136">
        <v>0</v>
      </c>
    </row>
    <row r="64" spans="1:13" outlineLevel="2" x14ac:dyDescent="0.25">
      <c r="A64" s="750"/>
      <c r="B64" s="751"/>
      <c r="C64" s="751"/>
      <c r="D64" s="69" t="s">
        <v>31</v>
      </c>
      <c r="E64" s="66">
        <f t="shared" si="12"/>
        <v>0</v>
      </c>
      <c r="F64" s="131">
        <v>0</v>
      </c>
      <c r="G64" s="132">
        <v>0</v>
      </c>
      <c r="H64" s="299"/>
      <c r="I64" s="299">
        <v>0</v>
      </c>
      <c r="J64" s="132">
        <v>0</v>
      </c>
      <c r="K64" s="299"/>
      <c r="L64" s="299">
        <v>0</v>
      </c>
      <c r="M64" s="136">
        <v>0</v>
      </c>
    </row>
    <row r="65" spans="1:13" outlineLevel="2" x14ac:dyDescent="0.25">
      <c r="A65" s="750"/>
      <c r="B65" s="751"/>
      <c r="C65" s="751"/>
      <c r="D65" s="69" t="s">
        <v>32</v>
      </c>
      <c r="E65" s="66">
        <f t="shared" si="12"/>
        <v>0</v>
      </c>
      <c r="F65" s="131">
        <v>0</v>
      </c>
      <c r="G65" s="132">
        <v>0</v>
      </c>
      <c r="H65" s="299"/>
      <c r="I65" s="299">
        <v>0</v>
      </c>
      <c r="J65" s="132">
        <v>0</v>
      </c>
      <c r="K65" s="299"/>
      <c r="L65" s="299">
        <v>0</v>
      </c>
      <c r="M65" s="136">
        <v>0</v>
      </c>
    </row>
    <row r="66" spans="1:13" outlineLevel="2" x14ac:dyDescent="0.25">
      <c r="A66" s="750"/>
      <c r="B66" s="751"/>
      <c r="C66" s="751"/>
      <c r="D66" s="69" t="s">
        <v>33</v>
      </c>
      <c r="E66" s="66">
        <f t="shared" si="12"/>
        <v>0</v>
      </c>
      <c r="F66" s="131">
        <v>0</v>
      </c>
      <c r="G66" s="132">
        <v>0</v>
      </c>
      <c r="H66" s="299"/>
      <c r="I66" s="299">
        <v>0</v>
      </c>
      <c r="J66" s="132">
        <v>0</v>
      </c>
      <c r="K66" s="299"/>
      <c r="L66" s="299">
        <v>0</v>
      </c>
      <c r="M66" s="136">
        <v>0</v>
      </c>
    </row>
    <row r="67" spans="1:13" ht="15.75" outlineLevel="2" thickBot="1" x14ac:dyDescent="0.3">
      <c r="A67" s="750"/>
      <c r="B67" s="751"/>
      <c r="C67" s="751"/>
      <c r="D67" s="70" t="s">
        <v>34</v>
      </c>
      <c r="E67" s="67">
        <f t="shared" si="12"/>
        <v>0</v>
      </c>
      <c r="F67" s="133">
        <v>0</v>
      </c>
      <c r="G67" s="134">
        <v>0</v>
      </c>
      <c r="H67" s="300"/>
      <c r="I67" s="300">
        <v>0</v>
      </c>
      <c r="J67" s="134">
        <v>0</v>
      </c>
      <c r="K67" s="300"/>
      <c r="L67" s="300">
        <v>0</v>
      </c>
      <c r="M67" s="137">
        <v>0</v>
      </c>
    </row>
    <row r="68" spans="1:13" outlineLevel="2" x14ac:dyDescent="0.25">
      <c r="A68" s="750" t="s">
        <v>84</v>
      </c>
      <c r="B68" s="751" t="s">
        <v>75</v>
      </c>
      <c r="C68" s="751">
        <v>718006</v>
      </c>
      <c r="D68" s="68" t="s">
        <v>25</v>
      </c>
      <c r="E68" s="66">
        <f t="shared" si="12"/>
        <v>0</v>
      </c>
      <c r="F68" s="129">
        <v>0</v>
      </c>
      <c r="G68" s="130">
        <v>0</v>
      </c>
      <c r="H68" s="298">
        <v>0</v>
      </c>
      <c r="I68" s="298">
        <v>0</v>
      </c>
      <c r="J68" s="130">
        <v>0</v>
      </c>
      <c r="K68" s="298">
        <v>0</v>
      </c>
      <c r="L68" s="298">
        <v>0</v>
      </c>
      <c r="M68" s="135">
        <v>0</v>
      </c>
    </row>
    <row r="69" spans="1:13" outlineLevel="2" x14ac:dyDescent="0.25">
      <c r="A69" s="750"/>
      <c r="B69" s="751"/>
      <c r="C69" s="751"/>
      <c r="D69" s="69" t="s">
        <v>26</v>
      </c>
      <c r="E69" s="66">
        <f t="shared" si="12"/>
        <v>0</v>
      </c>
      <c r="F69" s="131">
        <v>0</v>
      </c>
      <c r="G69" s="132">
        <v>0</v>
      </c>
      <c r="H69" s="299">
        <v>0</v>
      </c>
      <c r="I69" s="299">
        <v>0</v>
      </c>
      <c r="J69" s="132">
        <v>0</v>
      </c>
      <c r="K69" s="299">
        <v>0</v>
      </c>
      <c r="L69" s="299">
        <v>0</v>
      </c>
      <c r="M69" s="136">
        <v>0</v>
      </c>
    </row>
    <row r="70" spans="1:13" outlineLevel="2" x14ac:dyDescent="0.25">
      <c r="A70" s="750"/>
      <c r="B70" s="751"/>
      <c r="C70" s="751"/>
      <c r="D70" s="69" t="s">
        <v>27</v>
      </c>
      <c r="E70" s="66">
        <f t="shared" si="12"/>
        <v>0</v>
      </c>
      <c r="F70" s="131">
        <v>0</v>
      </c>
      <c r="G70" s="132">
        <v>0</v>
      </c>
      <c r="H70" s="299">
        <v>0</v>
      </c>
      <c r="I70" s="299">
        <v>0</v>
      </c>
      <c r="J70" s="132">
        <v>0</v>
      </c>
      <c r="K70" s="299">
        <v>0</v>
      </c>
      <c r="L70" s="299">
        <v>0</v>
      </c>
      <c r="M70" s="136">
        <v>0</v>
      </c>
    </row>
    <row r="71" spans="1:13" outlineLevel="2" x14ac:dyDescent="0.25">
      <c r="A71" s="750"/>
      <c r="B71" s="751"/>
      <c r="C71" s="751"/>
      <c r="D71" s="69" t="s">
        <v>28</v>
      </c>
      <c r="E71" s="66">
        <f t="shared" si="12"/>
        <v>0</v>
      </c>
      <c r="F71" s="131">
        <v>0</v>
      </c>
      <c r="G71" s="132">
        <v>0</v>
      </c>
      <c r="H71" s="299">
        <v>0</v>
      </c>
      <c r="I71" s="299">
        <v>0</v>
      </c>
      <c r="J71" s="132">
        <v>0</v>
      </c>
      <c r="K71" s="299">
        <v>0</v>
      </c>
      <c r="L71" s="299">
        <v>0</v>
      </c>
      <c r="M71" s="136">
        <v>0</v>
      </c>
    </row>
    <row r="72" spans="1:13" outlineLevel="2" x14ac:dyDescent="0.25">
      <c r="A72" s="750"/>
      <c r="B72" s="751"/>
      <c r="C72" s="751"/>
      <c r="D72" s="69" t="s">
        <v>29</v>
      </c>
      <c r="E72" s="66">
        <f t="shared" si="12"/>
        <v>0</v>
      </c>
      <c r="F72" s="131">
        <v>0</v>
      </c>
      <c r="G72" s="132">
        <v>0</v>
      </c>
      <c r="H72" s="299">
        <v>0</v>
      </c>
      <c r="I72" s="299">
        <v>0</v>
      </c>
      <c r="J72" s="132">
        <v>0</v>
      </c>
      <c r="K72" s="299">
        <v>0</v>
      </c>
      <c r="L72" s="299">
        <v>0</v>
      </c>
      <c r="M72" s="136">
        <v>0</v>
      </c>
    </row>
    <row r="73" spans="1:13" outlineLevel="2" x14ac:dyDescent="0.25">
      <c r="A73" s="750"/>
      <c r="B73" s="751"/>
      <c r="C73" s="751"/>
      <c r="D73" s="69" t="s">
        <v>30</v>
      </c>
      <c r="E73" s="66">
        <f t="shared" si="12"/>
        <v>0</v>
      </c>
      <c r="F73" s="131">
        <v>0</v>
      </c>
      <c r="G73" s="132">
        <v>0</v>
      </c>
      <c r="H73" s="299">
        <v>0</v>
      </c>
      <c r="I73" s="299">
        <v>0</v>
      </c>
      <c r="J73" s="132">
        <v>0</v>
      </c>
      <c r="K73" s="299">
        <v>0</v>
      </c>
      <c r="L73" s="299">
        <v>0</v>
      </c>
      <c r="M73" s="136">
        <v>0</v>
      </c>
    </row>
    <row r="74" spans="1:13" outlineLevel="2" x14ac:dyDescent="0.25">
      <c r="A74" s="750"/>
      <c r="B74" s="751"/>
      <c r="C74" s="751"/>
      <c r="D74" s="69" t="s">
        <v>31</v>
      </c>
      <c r="E74" s="66">
        <f t="shared" si="12"/>
        <v>0</v>
      </c>
      <c r="F74" s="131">
        <v>0</v>
      </c>
      <c r="G74" s="132">
        <v>0</v>
      </c>
      <c r="H74" s="299">
        <v>0</v>
      </c>
      <c r="I74" s="299">
        <v>0</v>
      </c>
      <c r="J74" s="132">
        <v>0</v>
      </c>
      <c r="K74" s="299">
        <v>0</v>
      </c>
      <c r="L74" s="299">
        <v>0</v>
      </c>
      <c r="M74" s="136">
        <v>0</v>
      </c>
    </row>
    <row r="75" spans="1:13" outlineLevel="2" x14ac:dyDescent="0.25">
      <c r="A75" s="750"/>
      <c r="B75" s="751"/>
      <c r="C75" s="751"/>
      <c r="D75" s="69" t="s">
        <v>32</v>
      </c>
      <c r="E75" s="66">
        <f t="shared" si="12"/>
        <v>0</v>
      </c>
      <c r="F75" s="131">
        <v>0</v>
      </c>
      <c r="G75" s="132">
        <v>0</v>
      </c>
      <c r="H75" s="299">
        <v>0</v>
      </c>
      <c r="I75" s="299">
        <v>0</v>
      </c>
      <c r="J75" s="132">
        <v>0</v>
      </c>
      <c r="K75" s="299">
        <v>0</v>
      </c>
      <c r="L75" s="299">
        <v>0</v>
      </c>
      <c r="M75" s="136">
        <v>0</v>
      </c>
    </row>
    <row r="76" spans="1:13" outlineLevel="2" x14ac:dyDescent="0.25">
      <c r="A76" s="750"/>
      <c r="B76" s="751"/>
      <c r="C76" s="751"/>
      <c r="D76" s="69" t="s">
        <v>33</v>
      </c>
      <c r="E76" s="66">
        <f t="shared" si="12"/>
        <v>0</v>
      </c>
      <c r="F76" s="131">
        <v>0</v>
      </c>
      <c r="G76" s="132">
        <v>0</v>
      </c>
      <c r="H76" s="299">
        <v>0</v>
      </c>
      <c r="I76" s="299">
        <v>0</v>
      </c>
      <c r="J76" s="132">
        <v>0</v>
      </c>
      <c r="K76" s="299">
        <v>0</v>
      </c>
      <c r="L76" s="299">
        <v>0</v>
      </c>
      <c r="M76" s="136">
        <v>0</v>
      </c>
    </row>
    <row r="77" spans="1:13" ht="15.75" outlineLevel="2" thickBot="1" x14ac:dyDescent="0.3">
      <c r="A77" s="750"/>
      <c r="B77" s="751"/>
      <c r="C77" s="751"/>
      <c r="D77" s="70" t="s">
        <v>34</v>
      </c>
      <c r="E77" s="67">
        <f t="shared" si="12"/>
        <v>0</v>
      </c>
      <c r="F77" s="133">
        <v>0</v>
      </c>
      <c r="G77" s="134">
        <v>0</v>
      </c>
      <c r="H77" s="300">
        <v>0</v>
      </c>
      <c r="I77" s="300">
        <v>0</v>
      </c>
      <c r="J77" s="134">
        <v>0</v>
      </c>
      <c r="K77" s="300">
        <v>0</v>
      </c>
      <c r="L77" s="300">
        <v>0</v>
      </c>
      <c r="M77" s="137">
        <v>0</v>
      </c>
    </row>
    <row r="78" spans="1:13" ht="15.75" outlineLevel="1" thickBot="1" x14ac:dyDescent="0.3">
      <c r="A78" s="17" t="s">
        <v>109</v>
      </c>
      <c r="B78" s="17"/>
      <c r="C78" s="17"/>
      <c r="D78" s="28"/>
      <c r="E78" s="140">
        <f t="shared" ref="E78:M78" si="13">SUM(E79:E128)</f>
        <v>980000</v>
      </c>
      <c r="F78" s="141">
        <f t="shared" si="13"/>
        <v>140000</v>
      </c>
      <c r="G78" s="141">
        <f t="shared" si="13"/>
        <v>140000</v>
      </c>
      <c r="H78" s="306">
        <f t="shared" si="13"/>
        <v>140000</v>
      </c>
      <c r="I78" s="306">
        <f t="shared" si="13"/>
        <v>140000</v>
      </c>
      <c r="J78" s="141">
        <f t="shared" ref="J78:L78" si="14">SUM(J79:J128)</f>
        <v>140000</v>
      </c>
      <c r="K78" s="306">
        <f t="shared" si="14"/>
        <v>140000</v>
      </c>
      <c r="L78" s="306">
        <f t="shared" si="14"/>
        <v>140000</v>
      </c>
      <c r="M78" s="142">
        <f t="shared" si="13"/>
        <v>0</v>
      </c>
    </row>
    <row r="79" spans="1:13" outlineLevel="2" x14ac:dyDescent="0.25">
      <c r="A79" s="750" t="s">
        <v>85</v>
      </c>
      <c r="B79" s="751" t="s">
        <v>83</v>
      </c>
      <c r="C79" s="751">
        <v>635009</v>
      </c>
      <c r="D79" s="68" t="s">
        <v>25</v>
      </c>
      <c r="E79" s="72">
        <f t="shared" ref="E79:E128" si="15">SUM(F79:M79)</f>
        <v>0</v>
      </c>
      <c r="F79" s="120">
        <v>0</v>
      </c>
      <c r="G79" s="121">
        <v>0</v>
      </c>
      <c r="H79" s="302">
        <v>0</v>
      </c>
      <c r="I79" s="302">
        <v>0</v>
      </c>
      <c r="J79" s="121">
        <v>0</v>
      </c>
      <c r="K79" s="302">
        <v>0</v>
      </c>
      <c r="L79" s="302">
        <v>0</v>
      </c>
      <c r="M79" s="122">
        <v>0</v>
      </c>
    </row>
    <row r="80" spans="1:13" outlineLevel="2" x14ac:dyDescent="0.25">
      <c r="A80" s="750"/>
      <c r="B80" s="751"/>
      <c r="C80" s="751"/>
      <c r="D80" s="69" t="s">
        <v>26</v>
      </c>
      <c r="E80" s="73">
        <f t="shared" si="15"/>
        <v>0</v>
      </c>
      <c r="F80" s="123">
        <v>0</v>
      </c>
      <c r="G80" s="124">
        <v>0</v>
      </c>
      <c r="H80" s="303">
        <v>0</v>
      </c>
      <c r="I80" s="303">
        <v>0</v>
      </c>
      <c r="J80" s="124">
        <v>0</v>
      </c>
      <c r="K80" s="303">
        <v>0</v>
      </c>
      <c r="L80" s="303">
        <v>0</v>
      </c>
      <c r="M80" s="125">
        <v>0</v>
      </c>
    </row>
    <row r="81" spans="1:13" outlineLevel="2" x14ac:dyDescent="0.25">
      <c r="A81" s="750"/>
      <c r="B81" s="751"/>
      <c r="C81" s="751"/>
      <c r="D81" s="69" t="s">
        <v>27</v>
      </c>
      <c r="E81" s="73">
        <f t="shared" si="15"/>
        <v>0</v>
      </c>
      <c r="F81" s="123">
        <v>0</v>
      </c>
      <c r="G81" s="124">
        <v>0</v>
      </c>
      <c r="H81" s="303">
        <v>0</v>
      </c>
      <c r="I81" s="303">
        <v>0</v>
      </c>
      <c r="J81" s="124">
        <v>0</v>
      </c>
      <c r="K81" s="303">
        <v>0</v>
      </c>
      <c r="L81" s="303">
        <v>0</v>
      </c>
      <c r="M81" s="125">
        <v>0</v>
      </c>
    </row>
    <row r="82" spans="1:13" outlineLevel="2" x14ac:dyDescent="0.25">
      <c r="A82" s="750"/>
      <c r="B82" s="751"/>
      <c r="C82" s="751"/>
      <c r="D82" s="69" t="s">
        <v>28</v>
      </c>
      <c r="E82" s="73">
        <f t="shared" si="15"/>
        <v>140000</v>
      </c>
      <c r="F82" s="123">
        <v>20000</v>
      </c>
      <c r="G82" s="124">
        <v>20000</v>
      </c>
      <c r="H82" s="303">
        <v>20000</v>
      </c>
      <c r="I82" s="303">
        <v>20000</v>
      </c>
      <c r="J82" s="124">
        <v>20000</v>
      </c>
      <c r="K82" s="303">
        <v>20000</v>
      </c>
      <c r="L82" s="303">
        <v>20000</v>
      </c>
      <c r="M82" s="125">
        <v>0</v>
      </c>
    </row>
    <row r="83" spans="1:13" outlineLevel="2" x14ac:dyDescent="0.25">
      <c r="A83" s="750"/>
      <c r="B83" s="751"/>
      <c r="C83" s="751"/>
      <c r="D83" s="69" t="s">
        <v>29</v>
      </c>
      <c r="E83" s="73">
        <f t="shared" si="15"/>
        <v>140000</v>
      </c>
      <c r="F83" s="123">
        <v>20000</v>
      </c>
      <c r="G83" s="124">
        <v>20000</v>
      </c>
      <c r="H83" s="303">
        <v>20000</v>
      </c>
      <c r="I83" s="303">
        <v>20000</v>
      </c>
      <c r="J83" s="124">
        <v>20000</v>
      </c>
      <c r="K83" s="303">
        <v>20000</v>
      </c>
      <c r="L83" s="303">
        <v>20000</v>
      </c>
      <c r="M83" s="125">
        <v>0</v>
      </c>
    </row>
    <row r="84" spans="1:13" outlineLevel="2" x14ac:dyDescent="0.25">
      <c r="A84" s="750"/>
      <c r="B84" s="751"/>
      <c r="C84" s="751"/>
      <c r="D84" s="69" t="s">
        <v>30</v>
      </c>
      <c r="E84" s="73">
        <f t="shared" si="15"/>
        <v>140000</v>
      </c>
      <c r="F84" s="123">
        <v>20000</v>
      </c>
      <c r="G84" s="124">
        <v>20000</v>
      </c>
      <c r="H84" s="303">
        <v>20000</v>
      </c>
      <c r="I84" s="303">
        <v>20000</v>
      </c>
      <c r="J84" s="124">
        <v>20000</v>
      </c>
      <c r="K84" s="303">
        <v>20000</v>
      </c>
      <c r="L84" s="303">
        <v>20000</v>
      </c>
      <c r="M84" s="125">
        <v>0</v>
      </c>
    </row>
    <row r="85" spans="1:13" outlineLevel="2" x14ac:dyDescent="0.25">
      <c r="A85" s="750"/>
      <c r="B85" s="751"/>
      <c r="C85" s="751"/>
      <c r="D85" s="69" t="s">
        <v>31</v>
      </c>
      <c r="E85" s="73">
        <f t="shared" si="15"/>
        <v>140000</v>
      </c>
      <c r="F85" s="123">
        <v>20000</v>
      </c>
      <c r="G85" s="124">
        <v>20000</v>
      </c>
      <c r="H85" s="303">
        <v>20000</v>
      </c>
      <c r="I85" s="303">
        <v>20000</v>
      </c>
      <c r="J85" s="124">
        <v>20000</v>
      </c>
      <c r="K85" s="303">
        <v>20000</v>
      </c>
      <c r="L85" s="303">
        <v>20000</v>
      </c>
      <c r="M85" s="125">
        <v>0</v>
      </c>
    </row>
    <row r="86" spans="1:13" outlineLevel="2" x14ac:dyDescent="0.25">
      <c r="A86" s="750"/>
      <c r="B86" s="751"/>
      <c r="C86" s="751"/>
      <c r="D86" s="69" t="s">
        <v>32</v>
      </c>
      <c r="E86" s="73">
        <f t="shared" si="15"/>
        <v>140000</v>
      </c>
      <c r="F86" s="123">
        <v>20000</v>
      </c>
      <c r="G86" s="124">
        <v>20000</v>
      </c>
      <c r="H86" s="303">
        <v>20000</v>
      </c>
      <c r="I86" s="303">
        <v>20000</v>
      </c>
      <c r="J86" s="124">
        <v>20000</v>
      </c>
      <c r="K86" s="303">
        <v>20000</v>
      </c>
      <c r="L86" s="303">
        <v>20000</v>
      </c>
      <c r="M86" s="125">
        <v>0</v>
      </c>
    </row>
    <row r="87" spans="1:13" outlineLevel="2" x14ac:dyDescent="0.25">
      <c r="A87" s="750"/>
      <c r="B87" s="751"/>
      <c r="C87" s="751"/>
      <c r="D87" s="69" t="s">
        <v>33</v>
      </c>
      <c r="E87" s="73">
        <f t="shared" si="15"/>
        <v>140000</v>
      </c>
      <c r="F87" s="123">
        <v>20000</v>
      </c>
      <c r="G87" s="124">
        <v>20000</v>
      </c>
      <c r="H87" s="303">
        <v>20000</v>
      </c>
      <c r="I87" s="303">
        <v>20000</v>
      </c>
      <c r="J87" s="124">
        <v>20000</v>
      </c>
      <c r="K87" s="303">
        <v>20000</v>
      </c>
      <c r="L87" s="303">
        <v>20000</v>
      </c>
      <c r="M87" s="125">
        <v>0</v>
      </c>
    </row>
    <row r="88" spans="1:13" ht="15.75" outlineLevel="2" thickBot="1" x14ac:dyDescent="0.3">
      <c r="A88" s="750"/>
      <c r="B88" s="751"/>
      <c r="C88" s="751"/>
      <c r="D88" s="70" t="s">
        <v>34</v>
      </c>
      <c r="E88" s="74">
        <f t="shared" si="15"/>
        <v>140000</v>
      </c>
      <c r="F88" s="126">
        <v>20000</v>
      </c>
      <c r="G88" s="127">
        <v>20000</v>
      </c>
      <c r="H88" s="304">
        <v>20000</v>
      </c>
      <c r="I88" s="304">
        <v>20000</v>
      </c>
      <c r="J88" s="127">
        <v>20000</v>
      </c>
      <c r="K88" s="304">
        <v>20000</v>
      </c>
      <c r="L88" s="304">
        <v>20000</v>
      </c>
      <c r="M88" s="128">
        <v>0</v>
      </c>
    </row>
    <row r="89" spans="1:13" outlineLevel="2" x14ac:dyDescent="0.25">
      <c r="A89" s="750" t="s">
        <v>86</v>
      </c>
      <c r="B89" s="751" t="s">
        <v>80</v>
      </c>
      <c r="C89" s="751">
        <v>637005</v>
      </c>
      <c r="D89" s="68" t="s">
        <v>25</v>
      </c>
      <c r="E89" s="73">
        <f t="shared" si="15"/>
        <v>0</v>
      </c>
      <c r="F89" s="120">
        <v>0</v>
      </c>
      <c r="G89" s="121">
        <v>0</v>
      </c>
      <c r="H89" s="302">
        <v>0</v>
      </c>
      <c r="I89" s="302">
        <v>0</v>
      </c>
      <c r="J89" s="121">
        <v>0</v>
      </c>
      <c r="K89" s="302">
        <v>0</v>
      </c>
      <c r="L89" s="302">
        <v>0</v>
      </c>
      <c r="M89" s="122">
        <v>0</v>
      </c>
    </row>
    <row r="90" spans="1:13" outlineLevel="2" x14ac:dyDescent="0.25">
      <c r="A90" s="750"/>
      <c r="B90" s="751"/>
      <c r="C90" s="751"/>
      <c r="D90" s="69" t="s">
        <v>26</v>
      </c>
      <c r="E90" s="73">
        <f t="shared" si="15"/>
        <v>0</v>
      </c>
      <c r="F90" s="123">
        <v>0</v>
      </c>
      <c r="G90" s="124">
        <v>0</v>
      </c>
      <c r="H90" s="303">
        <v>0</v>
      </c>
      <c r="I90" s="303">
        <v>0</v>
      </c>
      <c r="J90" s="124">
        <v>0</v>
      </c>
      <c r="K90" s="303">
        <v>0</v>
      </c>
      <c r="L90" s="303">
        <v>0</v>
      </c>
      <c r="M90" s="125">
        <v>0</v>
      </c>
    </row>
    <row r="91" spans="1:13" outlineLevel="2" x14ac:dyDescent="0.25">
      <c r="A91" s="750"/>
      <c r="B91" s="751"/>
      <c r="C91" s="751"/>
      <c r="D91" s="69" t="s">
        <v>27</v>
      </c>
      <c r="E91" s="73">
        <f t="shared" si="15"/>
        <v>0</v>
      </c>
      <c r="F91" s="123">
        <v>0</v>
      </c>
      <c r="G91" s="124">
        <v>0</v>
      </c>
      <c r="H91" s="303">
        <v>0</v>
      </c>
      <c r="I91" s="303">
        <v>0</v>
      </c>
      <c r="J91" s="124">
        <v>0</v>
      </c>
      <c r="K91" s="303">
        <v>0</v>
      </c>
      <c r="L91" s="303">
        <v>0</v>
      </c>
      <c r="M91" s="125">
        <v>0</v>
      </c>
    </row>
    <row r="92" spans="1:13" outlineLevel="2" x14ac:dyDescent="0.25">
      <c r="A92" s="750"/>
      <c r="B92" s="751"/>
      <c r="C92" s="751"/>
      <c r="D92" s="69" t="s">
        <v>28</v>
      </c>
      <c r="E92" s="73">
        <f t="shared" si="15"/>
        <v>0</v>
      </c>
      <c r="F92" s="123">
        <v>0</v>
      </c>
      <c r="G92" s="124">
        <v>0</v>
      </c>
      <c r="H92" s="303">
        <v>0</v>
      </c>
      <c r="I92" s="303">
        <v>0</v>
      </c>
      <c r="J92" s="124">
        <v>0</v>
      </c>
      <c r="K92" s="303">
        <v>0</v>
      </c>
      <c r="L92" s="303">
        <v>0</v>
      </c>
      <c r="M92" s="125">
        <v>0</v>
      </c>
    </row>
    <row r="93" spans="1:13" outlineLevel="2" x14ac:dyDescent="0.25">
      <c r="A93" s="750"/>
      <c r="B93" s="751"/>
      <c r="C93" s="751"/>
      <c r="D93" s="69" t="s">
        <v>29</v>
      </c>
      <c r="E93" s="73">
        <f t="shared" si="15"/>
        <v>0</v>
      </c>
      <c r="F93" s="123">
        <v>0</v>
      </c>
      <c r="G93" s="124">
        <v>0</v>
      </c>
      <c r="H93" s="303">
        <v>0</v>
      </c>
      <c r="I93" s="303">
        <v>0</v>
      </c>
      <c r="J93" s="124">
        <v>0</v>
      </c>
      <c r="K93" s="303">
        <v>0</v>
      </c>
      <c r="L93" s="303">
        <v>0</v>
      </c>
      <c r="M93" s="125">
        <v>0</v>
      </c>
    </row>
    <row r="94" spans="1:13" outlineLevel="2" x14ac:dyDescent="0.25">
      <c r="A94" s="750"/>
      <c r="B94" s="751"/>
      <c r="C94" s="751"/>
      <c r="D94" s="69" t="s">
        <v>30</v>
      </c>
      <c r="E94" s="73">
        <f t="shared" si="15"/>
        <v>0</v>
      </c>
      <c r="F94" s="123">
        <v>0</v>
      </c>
      <c r="G94" s="124">
        <v>0</v>
      </c>
      <c r="H94" s="303">
        <v>0</v>
      </c>
      <c r="I94" s="303">
        <v>0</v>
      </c>
      <c r="J94" s="124">
        <v>0</v>
      </c>
      <c r="K94" s="303">
        <v>0</v>
      </c>
      <c r="L94" s="303">
        <v>0</v>
      </c>
      <c r="M94" s="125">
        <v>0</v>
      </c>
    </row>
    <row r="95" spans="1:13" outlineLevel="2" x14ac:dyDescent="0.25">
      <c r="A95" s="750"/>
      <c r="B95" s="751"/>
      <c r="C95" s="751"/>
      <c r="D95" s="69" t="s">
        <v>31</v>
      </c>
      <c r="E95" s="73">
        <f t="shared" si="15"/>
        <v>0</v>
      </c>
      <c r="F95" s="123">
        <v>0</v>
      </c>
      <c r="G95" s="124">
        <v>0</v>
      </c>
      <c r="H95" s="303">
        <v>0</v>
      </c>
      <c r="I95" s="303">
        <v>0</v>
      </c>
      <c r="J95" s="124">
        <v>0</v>
      </c>
      <c r="K95" s="303">
        <v>0</v>
      </c>
      <c r="L95" s="303">
        <v>0</v>
      </c>
      <c r="M95" s="125">
        <v>0</v>
      </c>
    </row>
    <row r="96" spans="1:13" outlineLevel="2" x14ac:dyDescent="0.25">
      <c r="A96" s="750"/>
      <c r="B96" s="751"/>
      <c r="C96" s="751"/>
      <c r="D96" s="69" t="s">
        <v>32</v>
      </c>
      <c r="E96" s="73">
        <f t="shared" si="15"/>
        <v>0</v>
      </c>
      <c r="F96" s="123">
        <v>0</v>
      </c>
      <c r="G96" s="124">
        <v>0</v>
      </c>
      <c r="H96" s="303">
        <v>0</v>
      </c>
      <c r="I96" s="303">
        <v>0</v>
      </c>
      <c r="J96" s="124">
        <v>0</v>
      </c>
      <c r="K96" s="303">
        <v>0</v>
      </c>
      <c r="L96" s="303">
        <v>0</v>
      </c>
      <c r="M96" s="125">
        <v>0</v>
      </c>
    </row>
    <row r="97" spans="1:13" outlineLevel="2" x14ac:dyDescent="0.25">
      <c r="A97" s="750"/>
      <c r="B97" s="751"/>
      <c r="C97" s="751"/>
      <c r="D97" s="69" t="s">
        <v>33</v>
      </c>
      <c r="E97" s="73">
        <f t="shared" si="15"/>
        <v>0</v>
      </c>
      <c r="F97" s="123">
        <v>0</v>
      </c>
      <c r="G97" s="124">
        <v>0</v>
      </c>
      <c r="H97" s="303">
        <v>0</v>
      </c>
      <c r="I97" s="303">
        <v>0</v>
      </c>
      <c r="J97" s="124">
        <v>0</v>
      </c>
      <c r="K97" s="303">
        <v>0</v>
      </c>
      <c r="L97" s="303">
        <v>0</v>
      </c>
      <c r="M97" s="125">
        <v>0</v>
      </c>
    </row>
    <row r="98" spans="1:13" ht="15.75" outlineLevel="2" thickBot="1" x14ac:dyDescent="0.3">
      <c r="A98" s="750"/>
      <c r="B98" s="751"/>
      <c r="C98" s="751"/>
      <c r="D98" s="70" t="s">
        <v>34</v>
      </c>
      <c r="E98" s="74">
        <f t="shared" si="15"/>
        <v>0</v>
      </c>
      <c r="F98" s="126">
        <v>0</v>
      </c>
      <c r="G98" s="127">
        <v>0</v>
      </c>
      <c r="H98" s="304">
        <v>0</v>
      </c>
      <c r="I98" s="304">
        <v>0</v>
      </c>
      <c r="J98" s="127">
        <v>0</v>
      </c>
      <c r="K98" s="304">
        <v>0</v>
      </c>
      <c r="L98" s="304">
        <v>0</v>
      </c>
      <c r="M98" s="128">
        <v>0</v>
      </c>
    </row>
    <row r="99" spans="1:13" outlineLevel="2" x14ac:dyDescent="0.25">
      <c r="A99" s="750" t="s">
        <v>87</v>
      </c>
      <c r="B99" s="751" t="s">
        <v>75</v>
      </c>
      <c r="C99" s="751">
        <v>718006</v>
      </c>
      <c r="D99" s="68" t="s">
        <v>25</v>
      </c>
      <c r="E99" s="73">
        <f t="shared" si="15"/>
        <v>0</v>
      </c>
      <c r="F99" s="120">
        <v>0</v>
      </c>
      <c r="G99" s="121">
        <v>0</v>
      </c>
      <c r="H99" s="302">
        <v>0</v>
      </c>
      <c r="I99" s="302">
        <v>0</v>
      </c>
      <c r="J99" s="121">
        <v>0</v>
      </c>
      <c r="K99" s="302">
        <v>0</v>
      </c>
      <c r="L99" s="302">
        <v>0</v>
      </c>
      <c r="M99" s="122">
        <v>0</v>
      </c>
    </row>
    <row r="100" spans="1:13" outlineLevel="2" x14ac:dyDescent="0.25">
      <c r="A100" s="750"/>
      <c r="B100" s="751"/>
      <c r="C100" s="751"/>
      <c r="D100" s="69" t="s">
        <v>26</v>
      </c>
      <c r="E100" s="73">
        <f t="shared" si="15"/>
        <v>0</v>
      </c>
      <c r="F100" s="123">
        <v>0</v>
      </c>
      <c r="G100" s="124">
        <v>0</v>
      </c>
      <c r="H100" s="303">
        <v>0</v>
      </c>
      <c r="I100" s="303">
        <v>0</v>
      </c>
      <c r="J100" s="124">
        <v>0</v>
      </c>
      <c r="K100" s="303">
        <v>0</v>
      </c>
      <c r="L100" s="303">
        <v>0</v>
      </c>
      <c r="M100" s="125">
        <v>0</v>
      </c>
    </row>
    <row r="101" spans="1:13" outlineLevel="2" x14ac:dyDescent="0.25">
      <c r="A101" s="750"/>
      <c r="B101" s="751"/>
      <c r="C101" s="751"/>
      <c r="D101" s="69" t="s">
        <v>27</v>
      </c>
      <c r="E101" s="73">
        <f t="shared" si="15"/>
        <v>0</v>
      </c>
      <c r="F101" s="123">
        <v>0</v>
      </c>
      <c r="G101" s="124">
        <v>0</v>
      </c>
      <c r="H101" s="303">
        <v>0</v>
      </c>
      <c r="I101" s="303">
        <v>0</v>
      </c>
      <c r="J101" s="124">
        <v>0</v>
      </c>
      <c r="K101" s="303">
        <v>0</v>
      </c>
      <c r="L101" s="303">
        <v>0</v>
      </c>
      <c r="M101" s="125">
        <v>0</v>
      </c>
    </row>
    <row r="102" spans="1:13" outlineLevel="2" x14ac:dyDescent="0.25">
      <c r="A102" s="750"/>
      <c r="B102" s="751"/>
      <c r="C102" s="751"/>
      <c r="D102" s="69" t="s">
        <v>28</v>
      </c>
      <c r="E102" s="73">
        <f t="shared" si="15"/>
        <v>0</v>
      </c>
      <c r="F102" s="123">
        <v>0</v>
      </c>
      <c r="G102" s="124">
        <v>0</v>
      </c>
      <c r="H102" s="303">
        <v>0</v>
      </c>
      <c r="I102" s="303">
        <v>0</v>
      </c>
      <c r="J102" s="124">
        <v>0</v>
      </c>
      <c r="K102" s="303">
        <v>0</v>
      </c>
      <c r="L102" s="303">
        <v>0</v>
      </c>
      <c r="M102" s="125">
        <v>0</v>
      </c>
    </row>
    <row r="103" spans="1:13" outlineLevel="2" x14ac:dyDescent="0.25">
      <c r="A103" s="750"/>
      <c r="B103" s="751"/>
      <c r="C103" s="751"/>
      <c r="D103" s="69" t="s">
        <v>29</v>
      </c>
      <c r="E103" s="73">
        <f t="shared" si="15"/>
        <v>0</v>
      </c>
      <c r="F103" s="123">
        <v>0</v>
      </c>
      <c r="G103" s="124">
        <v>0</v>
      </c>
      <c r="H103" s="303">
        <v>0</v>
      </c>
      <c r="I103" s="303">
        <v>0</v>
      </c>
      <c r="J103" s="124">
        <v>0</v>
      </c>
      <c r="K103" s="303">
        <v>0</v>
      </c>
      <c r="L103" s="303">
        <v>0</v>
      </c>
      <c r="M103" s="125">
        <v>0</v>
      </c>
    </row>
    <row r="104" spans="1:13" outlineLevel="2" x14ac:dyDescent="0.25">
      <c r="A104" s="750"/>
      <c r="B104" s="751"/>
      <c r="C104" s="751"/>
      <c r="D104" s="69" t="s">
        <v>30</v>
      </c>
      <c r="E104" s="73">
        <f t="shared" si="15"/>
        <v>0</v>
      </c>
      <c r="F104" s="123">
        <v>0</v>
      </c>
      <c r="G104" s="124">
        <v>0</v>
      </c>
      <c r="H104" s="303">
        <v>0</v>
      </c>
      <c r="I104" s="303">
        <v>0</v>
      </c>
      <c r="J104" s="124">
        <v>0</v>
      </c>
      <c r="K104" s="303">
        <v>0</v>
      </c>
      <c r="L104" s="303">
        <v>0</v>
      </c>
      <c r="M104" s="125">
        <v>0</v>
      </c>
    </row>
    <row r="105" spans="1:13" outlineLevel="2" x14ac:dyDescent="0.25">
      <c r="A105" s="750"/>
      <c r="B105" s="751"/>
      <c r="C105" s="751"/>
      <c r="D105" s="69" t="s">
        <v>31</v>
      </c>
      <c r="E105" s="73">
        <f t="shared" si="15"/>
        <v>0</v>
      </c>
      <c r="F105" s="123">
        <v>0</v>
      </c>
      <c r="G105" s="124">
        <v>0</v>
      </c>
      <c r="H105" s="303">
        <v>0</v>
      </c>
      <c r="I105" s="303">
        <v>0</v>
      </c>
      <c r="J105" s="124">
        <v>0</v>
      </c>
      <c r="K105" s="303">
        <v>0</v>
      </c>
      <c r="L105" s="303">
        <v>0</v>
      </c>
      <c r="M105" s="125">
        <v>0</v>
      </c>
    </row>
    <row r="106" spans="1:13" outlineLevel="2" x14ac:dyDescent="0.25">
      <c r="A106" s="750"/>
      <c r="B106" s="751"/>
      <c r="C106" s="751"/>
      <c r="D106" s="69" t="s">
        <v>32</v>
      </c>
      <c r="E106" s="73">
        <f t="shared" si="15"/>
        <v>0</v>
      </c>
      <c r="F106" s="123">
        <v>0</v>
      </c>
      <c r="G106" s="124">
        <v>0</v>
      </c>
      <c r="H106" s="303">
        <v>0</v>
      </c>
      <c r="I106" s="303">
        <v>0</v>
      </c>
      <c r="J106" s="124">
        <v>0</v>
      </c>
      <c r="K106" s="303">
        <v>0</v>
      </c>
      <c r="L106" s="303">
        <v>0</v>
      </c>
      <c r="M106" s="125">
        <v>0</v>
      </c>
    </row>
    <row r="107" spans="1:13" outlineLevel="2" x14ac:dyDescent="0.25">
      <c r="A107" s="750"/>
      <c r="B107" s="751"/>
      <c r="C107" s="751"/>
      <c r="D107" s="69" t="s">
        <v>33</v>
      </c>
      <c r="E107" s="73">
        <f t="shared" si="15"/>
        <v>0</v>
      </c>
      <c r="F107" s="123">
        <v>0</v>
      </c>
      <c r="G107" s="124">
        <v>0</v>
      </c>
      <c r="H107" s="303">
        <v>0</v>
      </c>
      <c r="I107" s="303">
        <v>0</v>
      </c>
      <c r="J107" s="124">
        <v>0</v>
      </c>
      <c r="K107" s="303">
        <v>0</v>
      </c>
      <c r="L107" s="303">
        <v>0</v>
      </c>
      <c r="M107" s="125">
        <v>0</v>
      </c>
    </row>
    <row r="108" spans="1:13" ht="15.75" outlineLevel="2" thickBot="1" x14ac:dyDescent="0.3">
      <c r="A108" s="750"/>
      <c r="B108" s="751"/>
      <c r="C108" s="751"/>
      <c r="D108" s="70" t="s">
        <v>34</v>
      </c>
      <c r="E108" s="74">
        <f t="shared" si="15"/>
        <v>0</v>
      </c>
      <c r="F108" s="126">
        <v>0</v>
      </c>
      <c r="G108" s="127">
        <v>0</v>
      </c>
      <c r="H108" s="304">
        <v>0</v>
      </c>
      <c r="I108" s="304">
        <v>0</v>
      </c>
      <c r="J108" s="127">
        <v>0</v>
      </c>
      <c r="K108" s="304">
        <v>0</v>
      </c>
      <c r="L108" s="304">
        <v>0</v>
      </c>
      <c r="M108" s="128">
        <v>0</v>
      </c>
    </row>
    <row r="109" spans="1:13" outlineLevel="2" x14ac:dyDescent="0.25">
      <c r="A109" s="750" t="s">
        <v>88</v>
      </c>
      <c r="B109" s="751" t="s">
        <v>89</v>
      </c>
      <c r="C109" s="751">
        <v>610</v>
      </c>
      <c r="D109" s="68" t="s">
        <v>25</v>
      </c>
      <c r="E109" s="73">
        <f t="shared" si="15"/>
        <v>0</v>
      </c>
      <c r="F109" s="120">
        <v>0</v>
      </c>
      <c r="G109" s="121">
        <v>0</v>
      </c>
      <c r="H109" s="302"/>
      <c r="I109" s="302">
        <v>0</v>
      </c>
      <c r="J109" s="121">
        <v>0</v>
      </c>
      <c r="K109" s="302"/>
      <c r="L109" s="302">
        <v>0</v>
      </c>
      <c r="M109" s="122">
        <v>0</v>
      </c>
    </row>
    <row r="110" spans="1:13" outlineLevel="2" x14ac:dyDescent="0.25">
      <c r="A110" s="750"/>
      <c r="B110" s="751"/>
      <c r="C110" s="751"/>
      <c r="D110" s="69" t="s">
        <v>26</v>
      </c>
      <c r="E110" s="73">
        <f t="shared" si="15"/>
        <v>0</v>
      </c>
      <c r="F110" s="123">
        <v>0</v>
      </c>
      <c r="G110" s="124">
        <v>0</v>
      </c>
      <c r="H110" s="303"/>
      <c r="I110" s="303">
        <v>0</v>
      </c>
      <c r="J110" s="124">
        <v>0</v>
      </c>
      <c r="K110" s="303"/>
      <c r="L110" s="303">
        <v>0</v>
      </c>
      <c r="M110" s="125">
        <v>0</v>
      </c>
    </row>
    <row r="111" spans="1:13" outlineLevel="2" x14ac:dyDescent="0.25">
      <c r="A111" s="750"/>
      <c r="B111" s="751"/>
      <c r="C111" s="751"/>
      <c r="D111" s="69" t="s">
        <v>27</v>
      </c>
      <c r="E111" s="73">
        <f t="shared" si="15"/>
        <v>0</v>
      </c>
      <c r="F111" s="123">
        <v>0</v>
      </c>
      <c r="G111" s="124">
        <v>0</v>
      </c>
      <c r="H111" s="303"/>
      <c r="I111" s="303">
        <v>0</v>
      </c>
      <c r="J111" s="124">
        <v>0</v>
      </c>
      <c r="K111" s="303"/>
      <c r="L111" s="303">
        <v>0</v>
      </c>
      <c r="M111" s="125">
        <v>0</v>
      </c>
    </row>
    <row r="112" spans="1:13" outlineLevel="2" x14ac:dyDescent="0.25">
      <c r="A112" s="750"/>
      <c r="B112" s="751"/>
      <c r="C112" s="751"/>
      <c r="D112" s="69" t="s">
        <v>28</v>
      </c>
      <c r="E112" s="73">
        <f t="shared" si="15"/>
        <v>0</v>
      </c>
      <c r="F112" s="123">
        <v>0</v>
      </c>
      <c r="G112" s="124">
        <v>0</v>
      </c>
      <c r="H112" s="303"/>
      <c r="I112" s="303">
        <v>0</v>
      </c>
      <c r="J112" s="124">
        <v>0</v>
      </c>
      <c r="K112" s="303"/>
      <c r="L112" s="303">
        <v>0</v>
      </c>
      <c r="M112" s="125">
        <v>0</v>
      </c>
    </row>
    <row r="113" spans="1:13" outlineLevel="2" x14ac:dyDescent="0.25">
      <c r="A113" s="750"/>
      <c r="B113" s="751"/>
      <c r="C113" s="751"/>
      <c r="D113" s="69" t="s">
        <v>29</v>
      </c>
      <c r="E113" s="73">
        <f t="shared" si="15"/>
        <v>0</v>
      </c>
      <c r="F113" s="123">
        <v>0</v>
      </c>
      <c r="G113" s="124">
        <v>0</v>
      </c>
      <c r="H113" s="303"/>
      <c r="I113" s="303">
        <v>0</v>
      </c>
      <c r="J113" s="124">
        <v>0</v>
      </c>
      <c r="K113" s="303"/>
      <c r="L113" s="303">
        <v>0</v>
      </c>
      <c r="M113" s="125">
        <v>0</v>
      </c>
    </row>
    <row r="114" spans="1:13" outlineLevel="2" x14ac:dyDescent="0.25">
      <c r="A114" s="750"/>
      <c r="B114" s="751"/>
      <c r="C114" s="751"/>
      <c r="D114" s="69" t="s">
        <v>30</v>
      </c>
      <c r="E114" s="73">
        <f t="shared" si="15"/>
        <v>0</v>
      </c>
      <c r="F114" s="123">
        <v>0</v>
      </c>
      <c r="G114" s="124">
        <v>0</v>
      </c>
      <c r="H114" s="303"/>
      <c r="I114" s="303">
        <v>0</v>
      </c>
      <c r="J114" s="124">
        <v>0</v>
      </c>
      <c r="K114" s="303"/>
      <c r="L114" s="303">
        <v>0</v>
      </c>
      <c r="M114" s="125">
        <v>0</v>
      </c>
    </row>
    <row r="115" spans="1:13" outlineLevel="2" x14ac:dyDescent="0.25">
      <c r="A115" s="750"/>
      <c r="B115" s="751"/>
      <c r="C115" s="751"/>
      <c r="D115" s="69" t="s">
        <v>31</v>
      </c>
      <c r="E115" s="73">
        <f t="shared" si="15"/>
        <v>0</v>
      </c>
      <c r="F115" s="123">
        <v>0</v>
      </c>
      <c r="G115" s="124">
        <v>0</v>
      </c>
      <c r="H115" s="303"/>
      <c r="I115" s="303">
        <v>0</v>
      </c>
      <c r="J115" s="124">
        <v>0</v>
      </c>
      <c r="K115" s="303"/>
      <c r="L115" s="303">
        <v>0</v>
      </c>
      <c r="M115" s="125">
        <v>0</v>
      </c>
    </row>
    <row r="116" spans="1:13" outlineLevel="2" x14ac:dyDescent="0.25">
      <c r="A116" s="750"/>
      <c r="B116" s="751"/>
      <c r="C116" s="751"/>
      <c r="D116" s="69" t="s">
        <v>32</v>
      </c>
      <c r="E116" s="73">
        <f t="shared" si="15"/>
        <v>0</v>
      </c>
      <c r="F116" s="123">
        <v>0</v>
      </c>
      <c r="G116" s="124">
        <v>0</v>
      </c>
      <c r="H116" s="303"/>
      <c r="I116" s="303">
        <v>0</v>
      </c>
      <c r="J116" s="124">
        <v>0</v>
      </c>
      <c r="K116" s="303"/>
      <c r="L116" s="303">
        <v>0</v>
      </c>
      <c r="M116" s="125">
        <v>0</v>
      </c>
    </row>
    <row r="117" spans="1:13" outlineLevel="2" x14ac:dyDescent="0.25">
      <c r="A117" s="750"/>
      <c r="B117" s="751"/>
      <c r="C117" s="751"/>
      <c r="D117" s="69" t="s">
        <v>33</v>
      </c>
      <c r="E117" s="73">
        <f t="shared" si="15"/>
        <v>0</v>
      </c>
      <c r="F117" s="123">
        <v>0</v>
      </c>
      <c r="G117" s="124">
        <v>0</v>
      </c>
      <c r="H117" s="303"/>
      <c r="I117" s="303">
        <v>0</v>
      </c>
      <c r="J117" s="124">
        <v>0</v>
      </c>
      <c r="K117" s="303"/>
      <c r="L117" s="303">
        <v>0</v>
      </c>
      <c r="M117" s="125">
        <v>0</v>
      </c>
    </row>
    <row r="118" spans="1:13" ht="15.75" outlineLevel="2" thickBot="1" x14ac:dyDescent="0.3">
      <c r="A118" s="750"/>
      <c r="B118" s="751"/>
      <c r="C118" s="751"/>
      <c r="D118" s="70" t="s">
        <v>34</v>
      </c>
      <c r="E118" s="74">
        <f t="shared" si="15"/>
        <v>0</v>
      </c>
      <c r="F118" s="126">
        <v>0</v>
      </c>
      <c r="G118" s="127">
        <v>0</v>
      </c>
      <c r="H118" s="304"/>
      <c r="I118" s="304">
        <v>0</v>
      </c>
      <c r="J118" s="127">
        <v>0</v>
      </c>
      <c r="K118" s="304"/>
      <c r="L118" s="304">
        <v>0</v>
      </c>
      <c r="M118" s="128">
        <v>0</v>
      </c>
    </row>
    <row r="119" spans="1:13" outlineLevel="2" x14ac:dyDescent="0.25">
      <c r="A119" s="750" t="s">
        <v>79</v>
      </c>
      <c r="B119" s="751" t="s">
        <v>80</v>
      </c>
      <c r="C119" s="751">
        <v>637001</v>
      </c>
      <c r="D119" s="68" t="s">
        <v>25</v>
      </c>
      <c r="E119" s="73">
        <f t="shared" si="15"/>
        <v>0</v>
      </c>
      <c r="F119" s="120">
        <v>0</v>
      </c>
      <c r="G119" s="121">
        <v>0</v>
      </c>
      <c r="H119" s="302">
        <v>0</v>
      </c>
      <c r="I119" s="302">
        <v>0</v>
      </c>
      <c r="J119" s="121">
        <v>0</v>
      </c>
      <c r="K119" s="302">
        <v>0</v>
      </c>
      <c r="L119" s="302">
        <v>0</v>
      </c>
      <c r="M119" s="122">
        <v>0</v>
      </c>
    </row>
    <row r="120" spans="1:13" outlineLevel="2" x14ac:dyDescent="0.25">
      <c r="A120" s="750"/>
      <c r="B120" s="751"/>
      <c r="C120" s="751"/>
      <c r="D120" s="69" t="s">
        <v>26</v>
      </c>
      <c r="E120" s="73">
        <f t="shared" si="15"/>
        <v>0</v>
      </c>
      <c r="F120" s="123">
        <v>0</v>
      </c>
      <c r="G120" s="124">
        <v>0</v>
      </c>
      <c r="H120" s="303">
        <v>0</v>
      </c>
      <c r="I120" s="303">
        <v>0</v>
      </c>
      <c r="J120" s="124">
        <v>0</v>
      </c>
      <c r="K120" s="303">
        <v>0</v>
      </c>
      <c r="L120" s="303">
        <v>0</v>
      </c>
      <c r="M120" s="125">
        <v>0</v>
      </c>
    </row>
    <row r="121" spans="1:13" outlineLevel="2" x14ac:dyDescent="0.25">
      <c r="A121" s="750"/>
      <c r="B121" s="751"/>
      <c r="C121" s="751"/>
      <c r="D121" s="69" t="s">
        <v>27</v>
      </c>
      <c r="E121" s="73">
        <f t="shared" si="15"/>
        <v>0</v>
      </c>
      <c r="F121" s="123">
        <v>0</v>
      </c>
      <c r="G121" s="124">
        <v>0</v>
      </c>
      <c r="H121" s="303">
        <v>0</v>
      </c>
      <c r="I121" s="303">
        <v>0</v>
      </c>
      <c r="J121" s="124">
        <v>0</v>
      </c>
      <c r="K121" s="303">
        <v>0</v>
      </c>
      <c r="L121" s="303">
        <v>0</v>
      </c>
      <c r="M121" s="125">
        <v>0</v>
      </c>
    </row>
    <row r="122" spans="1:13" outlineLevel="2" x14ac:dyDescent="0.25">
      <c r="A122" s="750"/>
      <c r="B122" s="751"/>
      <c r="C122" s="751"/>
      <c r="D122" s="69" t="s">
        <v>28</v>
      </c>
      <c r="E122" s="73">
        <f t="shared" si="15"/>
        <v>0</v>
      </c>
      <c r="F122" s="123">
        <v>0</v>
      </c>
      <c r="G122" s="124">
        <v>0</v>
      </c>
      <c r="H122" s="303">
        <v>0</v>
      </c>
      <c r="I122" s="303">
        <v>0</v>
      </c>
      <c r="J122" s="124">
        <v>0</v>
      </c>
      <c r="K122" s="303">
        <v>0</v>
      </c>
      <c r="L122" s="303">
        <v>0</v>
      </c>
      <c r="M122" s="125">
        <v>0</v>
      </c>
    </row>
    <row r="123" spans="1:13" outlineLevel="2" x14ac:dyDescent="0.25">
      <c r="A123" s="750"/>
      <c r="B123" s="751"/>
      <c r="C123" s="751"/>
      <c r="D123" s="69" t="s">
        <v>29</v>
      </c>
      <c r="E123" s="73">
        <f t="shared" si="15"/>
        <v>0</v>
      </c>
      <c r="F123" s="123">
        <v>0</v>
      </c>
      <c r="G123" s="124">
        <v>0</v>
      </c>
      <c r="H123" s="303">
        <v>0</v>
      </c>
      <c r="I123" s="303">
        <v>0</v>
      </c>
      <c r="J123" s="124">
        <v>0</v>
      </c>
      <c r="K123" s="303">
        <v>0</v>
      </c>
      <c r="L123" s="303">
        <v>0</v>
      </c>
      <c r="M123" s="125">
        <v>0</v>
      </c>
    </row>
    <row r="124" spans="1:13" outlineLevel="2" x14ac:dyDescent="0.25">
      <c r="A124" s="750"/>
      <c r="B124" s="751"/>
      <c r="C124" s="751"/>
      <c r="D124" s="69" t="s">
        <v>30</v>
      </c>
      <c r="E124" s="73">
        <f t="shared" si="15"/>
        <v>0</v>
      </c>
      <c r="F124" s="123">
        <v>0</v>
      </c>
      <c r="G124" s="124">
        <v>0</v>
      </c>
      <c r="H124" s="303">
        <v>0</v>
      </c>
      <c r="I124" s="303">
        <v>0</v>
      </c>
      <c r="J124" s="124">
        <v>0</v>
      </c>
      <c r="K124" s="303">
        <v>0</v>
      </c>
      <c r="L124" s="303">
        <v>0</v>
      </c>
      <c r="M124" s="125">
        <v>0</v>
      </c>
    </row>
    <row r="125" spans="1:13" outlineLevel="2" x14ac:dyDescent="0.25">
      <c r="A125" s="750"/>
      <c r="B125" s="751"/>
      <c r="C125" s="751"/>
      <c r="D125" s="69" t="s">
        <v>31</v>
      </c>
      <c r="E125" s="73">
        <f t="shared" si="15"/>
        <v>0</v>
      </c>
      <c r="F125" s="123">
        <v>0</v>
      </c>
      <c r="G125" s="124">
        <v>0</v>
      </c>
      <c r="H125" s="303">
        <v>0</v>
      </c>
      <c r="I125" s="303">
        <v>0</v>
      </c>
      <c r="J125" s="124">
        <v>0</v>
      </c>
      <c r="K125" s="303">
        <v>0</v>
      </c>
      <c r="L125" s="303">
        <v>0</v>
      </c>
      <c r="M125" s="125">
        <v>0</v>
      </c>
    </row>
    <row r="126" spans="1:13" outlineLevel="2" x14ac:dyDescent="0.25">
      <c r="A126" s="750"/>
      <c r="B126" s="751"/>
      <c r="C126" s="751"/>
      <c r="D126" s="69" t="s">
        <v>32</v>
      </c>
      <c r="E126" s="73">
        <f t="shared" si="15"/>
        <v>0</v>
      </c>
      <c r="F126" s="123">
        <v>0</v>
      </c>
      <c r="G126" s="124">
        <v>0</v>
      </c>
      <c r="H126" s="303">
        <v>0</v>
      </c>
      <c r="I126" s="303">
        <v>0</v>
      </c>
      <c r="J126" s="124">
        <v>0</v>
      </c>
      <c r="K126" s="303">
        <v>0</v>
      </c>
      <c r="L126" s="303">
        <v>0</v>
      </c>
      <c r="M126" s="125">
        <v>0</v>
      </c>
    </row>
    <row r="127" spans="1:13" outlineLevel="2" x14ac:dyDescent="0.25">
      <c r="A127" s="750"/>
      <c r="B127" s="751"/>
      <c r="C127" s="751"/>
      <c r="D127" s="69" t="s">
        <v>33</v>
      </c>
      <c r="E127" s="73">
        <f t="shared" si="15"/>
        <v>0</v>
      </c>
      <c r="F127" s="123">
        <v>0</v>
      </c>
      <c r="G127" s="124">
        <v>0</v>
      </c>
      <c r="H127" s="303">
        <v>0</v>
      </c>
      <c r="I127" s="303">
        <v>0</v>
      </c>
      <c r="J127" s="124">
        <v>0</v>
      </c>
      <c r="K127" s="303">
        <v>0</v>
      </c>
      <c r="L127" s="303">
        <v>0</v>
      </c>
      <c r="M127" s="125">
        <v>0</v>
      </c>
    </row>
    <row r="128" spans="1:13" ht="15.75" outlineLevel="2" thickBot="1" x14ac:dyDescent="0.3">
      <c r="A128" s="750"/>
      <c r="B128" s="751"/>
      <c r="C128" s="751"/>
      <c r="D128" s="70" t="s">
        <v>34</v>
      </c>
      <c r="E128" s="74">
        <f t="shared" si="15"/>
        <v>0</v>
      </c>
      <c r="F128" s="126">
        <v>0</v>
      </c>
      <c r="G128" s="127">
        <v>0</v>
      </c>
      <c r="H128" s="304">
        <v>0</v>
      </c>
      <c r="I128" s="304">
        <v>0</v>
      </c>
      <c r="J128" s="127">
        <v>0</v>
      </c>
      <c r="K128" s="304">
        <v>0</v>
      </c>
      <c r="L128" s="304">
        <v>0</v>
      </c>
      <c r="M128" s="128">
        <v>0</v>
      </c>
    </row>
    <row r="129" spans="1:13" ht="15.75" thickBot="1" x14ac:dyDescent="0.3">
      <c r="A129" s="17" t="s">
        <v>322</v>
      </c>
      <c r="B129" s="17"/>
      <c r="C129" s="17"/>
      <c r="D129" s="28"/>
      <c r="E129" s="140">
        <f t="shared" ref="E129:M129" si="16">SUM(E130:E149)</f>
        <v>200000.00000000003</v>
      </c>
      <c r="F129" s="141">
        <f t="shared" si="16"/>
        <v>28571.428571428572</v>
      </c>
      <c r="G129" s="141">
        <f t="shared" si="16"/>
        <v>28571.428571428572</v>
      </c>
      <c r="H129" s="306">
        <f t="shared" si="16"/>
        <v>28571.428571428572</v>
      </c>
      <c r="I129" s="306">
        <f t="shared" si="16"/>
        <v>28571.428571428572</v>
      </c>
      <c r="J129" s="141">
        <f t="shared" ref="J129:L129" si="17">SUM(J130:J149)</f>
        <v>28571.428571428572</v>
      </c>
      <c r="K129" s="306">
        <f t="shared" si="17"/>
        <v>28571.428571428572</v>
      </c>
      <c r="L129" s="306">
        <f t="shared" si="17"/>
        <v>28571.428571428572</v>
      </c>
      <c r="M129" s="142">
        <f t="shared" si="16"/>
        <v>0</v>
      </c>
    </row>
    <row r="130" spans="1:13" x14ac:dyDescent="0.25">
      <c r="A130" s="750" t="s">
        <v>323</v>
      </c>
      <c r="B130" s="751"/>
      <c r="C130" s="751"/>
      <c r="D130" s="68" t="s">
        <v>25</v>
      </c>
      <c r="E130" s="72">
        <f t="shared" ref="E130:E149" si="18">SUM(F130:M130)</f>
        <v>40000.000000000007</v>
      </c>
      <c r="F130" s="120">
        <f>((160000/24)*6)/7</f>
        <v>5714.2857142857147</v>
      </c>
      <c r="G130" s="121">
        <f t="shared" ref="G130:L130" si="19">((160000/24)*6)/7</f>
        <v>5714.2857142857147</v>
      </c>
      <c r="H130" s="302">
        <f t="shared" si="19"/>
        <v>5714.2857142857147</v>
      </c>
      <c r="I130" s="302">
        <f t="shared" si="19"/>
        <v>5714.2857142857147</v>
      </c>
      <c r="J130" s="121">
        <f t="shared" si="19"/>
        <v>5714.2857142857147</v>
      </c>
      <c r="K130" s="302">
        <f t="shared" si="19"/>
        <v>5714.2857142857147</v>
      </c>
      <c r="L130" s="302">
        <f t="shared" si="19"/>
        <v>5714.2857142857147</v>
      </c>
      <c r="M130" s="122">
        <v>0</v>
      </c>
    </row>
    <row r="131" spans="1:13" x14ac:dyDescent="0.25">
      <c r="A131" s="750"/>
      <c r="B131" s="751"/>
      <c r="C131" s="751"/>
      <c r="D131" s="69" t="s">
        <v>26</v>
      </c>
      <c r="E131" s="73">
        <f t="shared" si="18"/>
        <v>80000.000000000015</v>
      </c>
      <c r="F131" s="123">
        <f>((160000/24)*12)/7</f>
        <v>11428.571428571429</v>
      </c>
      <c r="G131" s="124">
        <f t="shared" ref="G131:L131" si="20">((160000/24)*12)/7</f>
        <v>11428.571428571429</v>
      </c>
      <c r="H131" s="303">
        <f t="shared" si="20"/>
        <v>11428.571428571429</v>
      </c>
      <c r="I131" s="303">
        <f t="shared" si="20"/>
        <v>11428.571428571429</v>
      </c>
      <c r="J131" s="124">
        <f t="shared" si="20"/>
        <v>11428.571428571429</v>
      </c>
      <c r="K131" s="303">
        <f t="shared" si="20"/>
        <v>11428.571428571429</v>
      </c>
      <c r="L131" s="303">
        <f t="shared" si="20"/>
        <v>11428.571428571429</v>
      </c>
      <c r="M131" s="125">
        <v>0</v>
      </c>
    </row>
    <row r="132" spans="1:13" x14ac:dyDescent="0.25">
      <c r="A132" s="750"/>
      <c r="B132" s="751"/>
      <c r="C132" s="751"/>
      <c r="D132" s="69" t="s">
        <v>27</v>
      </c>
      <c r="E132" s="73">
        <f t="shared" si="18"/>
        <v>40000.000000000007</v>
      </c>
      <c r="F132" s="123">
        <f t="shared" ref="F132:L132" si="21">((160000/24)*6)/7</f>
        <v>5714.2857142857147</v>
      </c>
      <c r="G132" s="124">
        <f t="shared" si="21"/>
        <v>5714.2857142857147</v>
      </c>
      <c r="H132" s="303">
        <f t="shared" si="21"/>
        <v>5714.2857142857147</v>
      </c>
      <c r="I132" s="303">
        <f t="shared" si="21"/>
        <v>5714.2857142857147</v>
      </c>
      <c r="J132" s="124">
        <f t="shared" si="21"/>
        <v>5714.2857142857147</v>
      </c>
      <c r="K132" s="303">
        <f t="shared" si="21"/>
        <v>5714.2857142857147</v>
      </c>
      <c r="L132" s="303">
        <f t="shared" si="21"/>
        <v>5714.2857142857147</v>
      </c>
      <c r="M132" s="125">
        <v>0</v>
      </c>
    </row>
    <row r="133" spans="1:13" x14ac:dyDescent="0.25">
      <c r="A133" s="750"/>
      <c r="B133" s="751"/>
      <c r="C133" s="751"/>
      <c r="D133" s="69" t="s">
        <v>28</v>
      </c>
      <c r="E133" s="73">
        <f t="shared" si="18"/>
        <v>0</v>
      </c>
      <c r="F133" s="123">
        <v>0</v>
      </c>
      <c r="G133" s="124">
        <v>0</v>
      </c>
      <c r="H133" s="303">
        <v>0</v>
      </c>
      <c r="I133" s="303">
        <v>0</v>
      </c>
      <c r="J133" s="124">
        <v>0</v>
      </c>
      <c r="K133" s="303">
        <v>0</v>
      </c>
      <c r="L133" s="303">
        <v>0</v>
      </c>
      <c r="M133" s="125">
        <v>0</v>
      </c>
    </row>
    <row r="134" spans="1:13" x14ac:dyDescent="0.25">
      <c r="A134" s="750"/>
      <c r="B134" s="751"/>
      <c r="C134" s="751"/>
      <c r="D134" s="69" t="s">
        <v>29</v>
      </c>
      <c r="E134" s="73">
        <f t="shared" si="18"/>
        <v>0</v>
      </c>
      <c r="F134" s="123">
        <v>0</v>
      </c>
      <c r="G134" s="124">
        <v>0</v>
      </c>
      <c r="H134" s="303">
        <v>0</v>
      </c>
      <c r="I134" s="303">
        <v>0</v>
      </c>
      <c r="J134" s="124">
        <v>0</v>
      </c>
      <c r="K134" s="303">
        <v>0</v>
      </c>
      <c r="L134" s="303">
        <v>0</v>
      </c>
      <c r="M134" s="125">
        <v>0</v>
      </c>
    </row>
    <row r="135" spans="1:13" x14ac:dyDescent="0.25">
      <c r="A135" s="750"/>
      <c r="B135" s="751"/>
      <c r="C135" s="751"/>
      <c r="D135" s="69" t="s">
        <v>30</v>
      </c>
      <c r="E135" s="73">
        <f t="shared" si="18"/>
        <v>0</v>
      </c>
      <c r="F135" s="123">
        <v>0</v>
      </c>
      <c r="G135" s="124">
        <v>0</v>
      </c>
      <c r="H135" s="303">
        <v>0</v>
      </c>
      <c r="I135" s="303">
        <v>0</v>
      </c>
      <c r="J135" s="124">
        <v>0</v>
      </c>
      <c r="K135" s="303">
        <v>0</v>
      </c>
      <c r="L135" s="303">
        <v>0</v>
      </c>
      <c r="M135" s="125">
        <v>0</v>
      </c>
    </row>
    <row r="136" spans="1:13" x14ac:dyDescent="0.25">
      <c r="A136" s="750"/>
      <c r="B136" s="751"/>
      <c r="C136" s="751"/>
      <c r="D136" s="69" t="s">
        <v>31</v>
      </c>
      <c r="E136" s="73">
        <f t="shared" si="18"/>
        <v>0</v>
      </c>
      <c r="F136" s="123">
        <v>0</v>
      </c>
      <c r="G136" s="124">
        <v>0</v>
      </c>
      <c r="H136" s="303">
        <v>0</v>
      </c>
      <c r="I136" s="303">
        <v>0</v>
      </c>
      <c r="J136" s="124">
        <v>0</v>
      </c>
      <c r="K136" s="303">
        <v>0</v>
      </c>
      <c r="L136" s="303">
        <v>0</v>
      </c>
      <c r="M136" s="125">
        <v>0</v>
      </c>
    </row>
    <row r="137" spans="1:13" x14ac:dyDescent="0.25">
      <c r="A137" s="750"/>
      <c r="B137" s="751"/>
      <c r="C137" s="751"/>
      <c r="D137" s="69" t="s">
        <v>32</v>
      </c>
      <c r="E137" s="73">
        <f t="shared" si="18"/>
        <v>0</v>
      </c>
      <c r="F137" s="123">
        <v>0</v>
      </c>
      <c r="G137" s="124">
        <v>0</v>
      </c>
      <c r="H137" s="303">
        <v>0</v>
      </c>
      <c r="I137" s="303">
        <v>0</v>
      </c>
      <c r="J137" s="124">
        <v>0</v>
      </c>
      <c r="K137" s="303">
        <v>0</v>
      </c>
      <c r="L137" s="303">
        <v>0</v>
      </c>
      <c r="M137" s="125">
        <v>0</v>
      </c>
    </row>
    <row r="138" spans="1:13" x14ac:dyDescent="0.25">
      <c r="A138" s="750"/>
      <c r="B138" s="751"/>
      <c r="C138" s="751"/>
      <c r="D138" s="69" t="s">
        <v>33</v>
      </c>
      <c r="E138" s="73">
        <f t="shared" si="18"/>
        <v>0</v>
      </c>
      <c r="F138" s="123">
        <v>0</v>
      </c>
      <c r="G138" s="124">
        <v>0</v>
      </c>
      <c r="H138" s="303">
        <v>0</v>
      </c>
      <c r="I138" s="303">
        <v>0</v>
      </c>
      <c r="J138" s="124">
        <v>0</v>
      </c>
      <c r="K138" s="303">
        <v>0</v>
      </c>
      <c r="L138" s="303">
        <v>0</v>
      </c>
      <c r="M138" s="125">
        <v>0</v>
      </c>
    </row>
    <row r="139" spans="1:13" ht="15.75" thickBot="1" x14ac:dyDescent="0.3">
      <c r="A139" s="750"/>
      <c r="B139" s="751"/>
      <c r="C139" s="751"/>
      <c r="D139" s="70" t="s">
        <v>34</v>
      </c>
      <c r="E139" s="74">
        <f t="shared" si="18"/>
        <v>0</v>
      </c>
      <c r="F139" s="126">
        <v>0</v>
      </c>
      <c r="G139" s="127">
        <v>0</v>
      </c>
      <c r="H139" s="304">
        <v>0</v>
      </c>
      <c r="I139" s="304">
        <v>0</v>
      </c>
      <c r="J139" s="127">
        <v>0</v>
      </c>
      <c r="K139" s="304">
        <v>0</v>
      </c>
      <c r="L139" s="304">
        <v>0</v>
      </c>
      <c r="M139" s="128">
        <v>0</v>
      </c>
    </row>
    <row r="140" spans="1:13" x14ac:dyDescent="0.25">
      <c r="A140" s="750" t="s">
        <v>158</v>
      </c>
      <c r="B140" s="751"/>
      <c r="C140" s="751" t="s">
        <v>349</v>
      </c>
      <c r="D140" s="68" t="s">
        <v>25</v>
      </c>
      <c r="E140" s="73">
        <f t="shared" si="18"/>
        <v>10000.000000000002</v>
      </c>
      <c r="F140" s="120">
        <f>((40000/24)*6)/7</f>
        <v>1428.5714285714287</v>
      </c>
      <c r="G140" s="121">
        <f t="shared" ref="G140:L140" si="22">((40000/24)*6)/7</f>
        <v>1428.5714285714287</v>
      </c>
      <c r="H140" s="302">
        <f t="shared" si="22"/>
        <v>1428.5714285714287</v>
      </c>
      <c r="I140" s="302">
        <f t="shared" si="22"/>
        <v>1428.5714285714287</v>
      </c>
      <c r="J140" s="121">
        <f t="shared" si="22"/>
        <v>1428.5714285714287</v>
      </c>
      <c r="K140" s="302">
        <f t="shared" si="22"/>
        <v>1428.5714285714287</v>
      </c>
      <c r="L140" s="302">
        <f t="shared" si="22"/>
        <v>1428.5714285714287</v>
      </c>
      <c r="M140" s="122">
        <v>0</v>
      </c>
    </row>
    <row r="141" spans="1:13" x14ac:dyDescent="0.25">
      <c r="A141" s="750"/>
      <c r="B141" s="751"/>
      <c r="C141" s="751"/>
      <c r="D141" s="69" t="s">
        <v>26</v>
      </c>
      <c r="E141" s="73">
        <f t="shared" si="18"/>
        <v>20000.000000000004</v>
      </c>
      <c r="F141" s="123">
        <f>((40000/24)*12)/7</f>
        <v>2857.1428571428573</v>
      </c>
      <c r="G141" s="124">
        <f t="shared" ref="G141:L141" si="23">((40000/24)*12)/7</f>
        <v>2857.1428571428573</v>
      </c>
      <c r="H141" s="303">
        <f t="shared" si="23"/>
        <v>2857.1428571428573</v>
      </c>
      <c r="I141" s="303">
        <f t="shared" si="23"/>
        <v>2857.1428571428573</v>
      </c>
      <c r="J141" s="124">
        <f t="shared" si="23"/>
        <v>2857.1428571428573</v>
      </c>
      <c r="K141" s="303">
        <f t="shared" si="23"/>
        <v>2857.1428571428573</v>
      </c>
      <c r="L141" s="303">
        <f t="shared" si="23"/>
        <v>2857.1428571428573</v>
      </c>
      <c r="M141" s="125">
        <v>0</v>
      </c>
    </row>
    <row r="142" spans="1:13" x14ac:dyDescent="0.25">
      <c r="A142" s="750"/>
      <c r="B142" s="751"/>
      <c r="C142" s="751"/>
      <c r="D142" s="69" t="s">
        <v>27</v>
      </c>
      <c r="E142" s="73">
        <f t="shared" si="18"/>
        <v>10000.000000000002</v>
      </c>
      <c r="F142" s="123">
        <f t="shared" ref="F142:L142" si="24">((40000/24)*6)/7</f>
        <v>1428.5714285714287</v>
      </c>
      <c r="G142" s="124">
        <f t="shared" si="24"/>
        <v>1428.5714285714287</v>
      </c>
      <c r="H142" s="303">
        <f t="shared" si="24"/>
        <v>1428.5714285714287</v>
      </c>
      <c r="I142" s="303">
        <f t="shared" si="24"/>
        <v>1428.5714285714287</v>
      </c>
      <c r="J142" s="124">
        <f t="shared" si="24"/>
        <v>1428.5714285714287</v>
      </c>
      <c r="K142" s="303">
        <f t="shared" si="24"/>
        <v>1428.5714285714287</v>
      </c>
      <c r="L142" s="303">
        <f t="shared" si="24"/>
        <v>1428.5714285714287</v>
      </c>
      <c r="M142" s="125">
        <v>0</v>
      </c>
    </row>
    <row r="143" spans="1:13" x14ac:dyDescent="0.25">
      <c r="A143" s="750"/>
      <c r="B143" s="751"/>
      <c r="C143" s="751"/>
      <c r="D143" s="69" t="s">
        <v>28</v>
      </c>
      <c r="E143" s="73">
        <f t="shared" si="18"/>
        <v>0</v>
      </c>
      <c r="F143" s="123">
        <v>0</v>
      </c>
      <c r="G143" s="124">
        <v>0</v>
      </c>
      <c r="H143" s="303">
        <v>0</v>
      </c>
      <c r="I143" s="303">
        <v>0</v>
      </c>
      <c r="J143" s="124">
        <v>0</v>
      </c>
      <c r="K143" s="303">
        <v>0</v>
      </c>
      <c r="L143" s="303">
        <v>0</v>
      </c>
      <c r="M143" s="125">
        <v>0</v>
      </c>
    </row>
    <row r="144" spans="1:13" x14ac:dyDescent="0.25">
      <c r="A144" s="750"/>
      <c r="B144" s="751"/>
      <c r="C144" s="751"/>
      <c r="D144" s="69" t="s">
        <v>29</v>
      </c>
      <c r="E144" s="73">
        <f t="shared" si="18"/>
        <v>0</v>
      </c>
      <c r="F144" s="123">
        <v>0</v>
      </c>
      <c r="G144" s="124">
        <v>0</v>
      </c>
      <c r="H144" s="303">
        <v>0</v>
      </c>
      <c r="I144" s="303">
        <v>0</v>
      </c>
      <c r="J144" s="124">
        <v>0</v>
      </c>
      <c r="K144" s="303">
        <v>0</v>
      </c>
      <c r="L144" s="303">
        <v>0</v>
      </c>
      <c r="M144" s="125">
        <v>0</v>
      </c>
    </row>
    <row r="145" spans="1:13" x14ac:dyDescent="0.25">
      <c r="A145" s="750"/>
      <c r="B145" s="751"/>
      <c r="C145" s="751"/>
      <c r="D145" s="69" t="s">
        <v>30</v>
      </c>
      <c r="E145" s="73">
        <f t="shared" si="18"/>
        <v>0</v>
      </c>
      <c r="F145" s="123">
        <v>0</v>
      </c>
      <c r="G145" s="124">
        <v>0</v>
      </c>
      <c r="H145" s="303">
        <v>0</v>
      </c>
      <c r="I145" s="303">
        <v>0</v>
      </c>
      <c r="J145" s="124">
        <v>0</v>
      </c>
      <c r="K145" s="303">
        <v>0</v>
      </c>
      <c r="L145" s="303">
        <v>0</v>
      </c>
      <c r="M145" s="125">
        <v>0</v>
      </c>
    </row>
    <row r="146" spans="1:13" x14ac:dyDescent="0.25">
      <c r="A146" s="750"/>
      <c r="B146" s="751"/>
      <c r="C146" s="751"/>
      <c r="D146" s="69" t="s">
        <v>31</v>
      </c>
      <c r="E146" s="73">
        <f t="shared" si="18"/>
        <v>0</v>
      </c>
      <c r="F146" s="123">
        <v>0</v>
      </c>
      <c r="G146" s="124">
        <v>0</v>
      </c>
      <c r="H146" s="303">
        <v>0</v>
      </c>
      <c r="I146" s="303">
        <v>0</v>
      </c>
      <c r="J146" s="124">
        <v>0</v>
      </c>
      <c r="K146" s="303">
        <v>0</v>
      </c>
      <c r="L146" s="303">
        <v>0</v>
      </c>
      <c r="M146" s="125">
        <v>0</v>
      </c>
    </row>
    <row r="147" spans="1:13" x14ac:dyDescent="0.25">
      <c r="A147" s="750"/>
      <c r="B147" s="751"/>
      <c r="C147" s="751"/>
      <c r="D147" s="69" t="s">
        <v>32</v>
      </c>
      <c r="E147" s="73">
        <f t="shared" si="18"/>
        <v>0</v>
      </c>
      <c r="F147" s="123">
        <v>0</v>
      </c>
      <c r="G147" s="124">
        <v>0</v>
      </c>
      <c r="H147" s="303">
        <v>0</v>
      </c>
      <c r="I147" s="303">
        <v>0</v>
      </c>
      <c r="J147" s="124">
        <v>0</v>
      </c>
      <c r="K147" s="303">
        <v>0</v>
      </c>
      <c r="L147" s="303">
        <v>0</v>
      </c>
      <c r="M147" s="125">
        <v>0</v>
      </c>
    </row>
    <row r="148" spans="1:13" x14ac:dyDescent="0.25">
      <c r="A148" s="750"/>
      <c r="B148" s="751"/>
      <c r="C148" s="751"/>
      <c r="D148" s="69" t="s">
        <v>33</v>
      </c>
      <c r="E148" s="73">
        <f t="shared" si="18"/>
        <v>0</v>
      </c>
      <c r="F148" s="123">
        <v>0</v>
      </c>
      <c r="G148" s="124">
        <v>0</v>
      </c>
      <c r="H148" s="303">
        <v>0</v>
      </c>
      <c r="I148" s="303">
        <v>0</v>
      </c>
      <c r="J148" s="124">
        <v>0</v>
      </c>
      <c r="K148" s="303">
        <v>0</v>
      </c>
      <c r="L148" s="303">
        <v>0</v>
      </c>
      <c r="M148" s="125">
        <v>0</v>
      </c>
    </row>
    <row r="149" spans="1:13" ht="15.75" thickBot="1" x14ac:dyDescent="0.3">
      <c r="A149" s="750"/>
      <c r="B149" s="751"/>
      <c r="C149" s="751"/>
      <c r="D149" s="70" t="s">
        <v>34</v>
      </c>
      <c r="E149" s="74">
        <f t="shared" si="18"/>
        <v>0</v>
      </c>
      <c r="F149" s="126">
        <v>0</v>
      </c>
      <c r="G149" s="127">
        <v>0</v>
      </c>
      <c r="H149" s="304">
        <v>0</v>
      </c>
      <c r="I149" s="304">
        <v>0</v>
      </c>
      <c r="J149" s="127">
        <v>0</v>
      </c>
      <c r="K149" s="304">
        <v>0</v>
      </c>
      <c r="L149" s="304">
        <v>0</v>
      </c>
      <c r="M149" s="128">
        <v>0</v>
      </c>
    </row>
    <row r="150" spans="1:13" ht="15.75" thickBot="1" x14ac:dyDescent="0.3">
      <c r="A150" s="748" t="s">
        <v>351</v>
      </c>
      <c r="B150" s="749"/>
      <c r="C150" s="749"/>
      <c r="D150" s="82"/>
      <c r="E150" s="78">
        <f t="shared" ref="E150:M150" si="25">SUM(E151:E170)</f>
        <v>0</v>
      </c>
      <c r="F150" s="79">
        <f t="shared" si="25"/>
        <v>0</v>
      </c>
      <c r="G150" s="79">
        <f t="shared" si="25"/>
        <v>0</v>
      </c>
      <c r="H150" s="297">
        <f t="shared" si="25"/>
        <v>0</v>
      </c>
      <c r="I150" s="297">
        <f t="shared" si="25"/>
        <v>0</v>
      </c>
      <c r="J150" s="79">
        <f t="shared" ref="J150:L150" si="26">SUM(J151:J170)</f>
        <v>0</v>
      </c>
      <c r="K150" s="297">
        <f t="shared" si="26"/>
        <v>0</v>
      </c>
      <c r="L150" s="297">
        <f t="shared" si="26"/>
        <v>0</v>
      </c>
      <c r="M150" s="80">
        <f t="shared" si="25"/>
        <v>0</v>
      </c>
    </row>
    <row r="151" spans="1:13" x14ac:dyDescent="0.25">
      <c r="A151" s="750" t="s">
        <v>353</v>
      </c>
      <c r="B151" s="751" t="s">
        <v>80</v>
      </c>
      <c r="C151" s="751">
        <v>633013</v>
      </c>
      <c r="D151" s="68" t="s">
        <v>25</v>
      </c>
      <c r="E151" s="65">
        <f t="shared" ref="E151:E170" si="27">SUM(F151:M151)</f>
        <v>0</v>
      </c>
      <c r="F151" s="129">
        <v>0</v>
      </c>
      <c r="G151" s="130">
        <v>0</v>
      </c>
      <c r="H151" s="298">
        <v>0</v>
      </c>
      <c r="I151" s="298">
        <v>0</v>
      </c>
      <c r="J151" s="130">
        <v>0</v>
      </c>
      <c r="K151" s="298">
        <v>0</v>
      </c>
      <c r="L151" s="298">
        <v>0</v>
      </c>
      <c r="M151" s="135">
        <v>0</v>
      </c>
    </row>
    <row r="152" spans="1:13" x14ac:dyDescent="0.25">
      <c r="A152" s="750"/>
      <c r="B152" s="751"/>
      <c r="C152" s="751"/>
      <c r="D152" s="69" t="s">
        <v>26</v>
      </c>
      <c r="E152" s="66">
        <f t="shared" si="27"/>
        <v>0</v>
      </c>
      <c r="F152" s="131">
        <v>0</v>
      </c>
      <c r="G152" s="132">
        <v>0</v>
      </c>
      <c r="H152" s="299">
        <v>0</v>
      </c>
      <c r="I152" s="299">
        <v>0</v>
      </c>
      <c r="J152" s="132">
        <v>0</v>
      </c>
      <c r="K152" s="299">
        <v>0</v>
      </c>
      <c r="L152" s="299">
        <v>0</v>
      </c>
      <c r="M152" s="136">
        <v>0</v>
      </c>
    </row>
    <row r="153" spans="1:13" x14ac:dyDescent="0.25">
      <c r="A153" s="750"/>
      <c r="B153" s="751"/>
      <c r="C153" s="751"/>
      <c r="D153" s="69" t="s">
        <v>27</v>
      </c>
      <c r="E153" s="66">
        <f t="shared" si="27"/>
        <v>0</v>
      </c>
      <c r="F153" s="131">
        <v>0</v>
      </c>
      <c r="G153" s="132">
        <v>0</v>
      </c>
      <c r="H153" s="299">
        <v>0</v>
      </c>
      <c r="I153" s="299">
        <v>0</v>
      </c>
      <c r="J153" s="132">
        <v>0</v>
      </c>
      <c r="K153" s="299">
        <v>0</v>
      </c>
      <c r="L153" s="299">
        <v>0</v>
      </c>
      <c r="M153" s="136">
        <v>0</v>
      </c>
    </row>
    <row r="154" spans="1:13" x14ac:dyDescent="0.25">
      <c r="A154" s="750"/>
      <c r="B154" s="751"/>
      <c r="C154" s="751"/>
      <c r="D154" s="69" t="s">
        <v>28</v>
      </c>
      <c r="E154" s="66">
        <f t="shared" si="27"/>
        <v>0</v>
      </c>
      <c r="F154" s="131">
        <v>0</v>
      </c>
      <c r="G154" s="132">
        <v>0</v>
      </c>
      <c r="H154" s="299">
        <v>0</v>
      </c>
      <c r="I154" s="299">
        <v>0</v>
      </c>
      <c r="J154" s="132">
        <v>0</v>
      </c>
      <c r="K154" s="299">
        <v>0</v>
      </c>
      <c r="L154" s="299">
        <v>0</v>
      </c>
      <c r="M154" s="136">
        <v>0</v>
      </c>
    </row>
    <row r="155" spans="1:13" x14ac:dyDescent="0.25">
      <c r="A155" s="750"/>
      <c r="B155" s="751"/>
      <c r="C155" s="751"/>
      <c r="D155" s="69" t="s">
        <v>29</v>
      </c>
      <c r="E155" s="66">
        <f t="shared" si="27"/>
        <v>0</v>
      </c>
      <c r="F155" s="131">
        <v>0</v>
      </c>
      <c r="G155" s="132">
        <v>0</v>
      </c>
      <c r="H155" s="299">
        <v>0</v>
      </c>
      <c r="I155" s="299">
        <v>0</v>
      </c>
      <c r="J155" s="132">
        <v>0</v>
      </c>
      <c r="K155" s="299">
        <v>0</v>
      </c>
      <c r="L155" s="299">
        <v>0</v>
      </c>
      <c r="M155" s="136">
        <v>0</v>
      </c>
    </row>
    <row r="156" spans="1:13" x14ac:dyDescent="0.25">
      <c r="A156" s="750"/>
      <c r="B156" s="751"/>
      <c r="C156" s="751"/>
      <c r="D156" s="69" t="s">
        <v>30</v>
      </c>
      <c r="E156" s="66">
        <f t="shared" si="27"/>
        <v>0</v>
      </c>
      <c r="F156" s="131">
        <v>0</v>
      </c>
      <c r="G156" s="132">
        <v>0</v>
      </c>
      <c r="H156" s="299">
        <v>0</v>
      </c>
      <c r="I156" s="299">
        <v>0</v>
      </c>
      <c r="J156" s="132">
        <v>0</v>
      </c>
      <c r="K156" s="299">
        <v>0</v>
      </c>
      <c r="L156" s="299">
        <v>0</v>
      </c>
      <c r="M156" s="136">
        <v>0</v>
      </c>
    </row>
    <row r="157" spans="1:13" x14ac:dyDescent="0.25">
      <c r="A157" s="750"/>
      <c r="B157" s="751"/>
      <c r="C157" s="751"/>
      <c r="D157" s="69" t="s">
        <v>31</v>
      </c>
      <c r="E157" s="66">
        <f t="shared" si="27"/>
        <v>0</v>
      </c>
      <c r="F157" s="131">
        <v>0</v>
      </c>
      <c r="G157" s="132">
        <v>0</v>
      </c>
      <c r="H157" s="299">
        <v>0</v>
      </c>
      <c r="I157" s="299">
        <v>0</v>
      </c>
      <c r="J157" s="132">
        <v>0</v>
      </c>
      <c r="K157" s="299">
        <v>0</v>
      </c>
      <c r="L157" s="299">
        <v>0</v>
      </c>
      <c r="M157" s="136">
        <v>0</v>
      </c>
    </row>
    <row r="158" spans="1:13" x14ac:dyDescent="0.25">
      <c r="A158" s="750"/>
      <c r="B158" s="751"/>
      <c r="C158" s="751"/>
      <c r="D158" s="69" t="s">
        <v>32</v>
      </c>
      <c r="E158" s="66">
        <f t="shared" si="27"/>
        <v>0</v>
      </c>
      <c r="F158" s="131">
        <v>0</v>
      </c>
      <c r="G158" s="132">
        <v>0</v>
      </c>
      <c r="H158" s="299">
        <v>0</v>
      </c>
      <c r="I158" s="299">
        <v>0</v>
      </c>
      <c r="J158" s="132">
        <v>0</v>
      </c>
      <c r="K158" s="299">
        <v>0</v>
      </c>
      <c r="L158" s="299">
        <v>0</v>
      </c>
      <c r="M158" s="136">
        <v>0</v>
      </c>
    </row>
    <row r="159" spans="1:13" x14ac:dyDescent="0.25">
      <c r="A159" s="750"/>
      <c r="B159" s="751"/>
      <c r="C159" s="751"/>
      <c r="D159" s="69" t="s">
        <v>33</v>
      </c>
      <c r="E159" s="66">
        <f t="shared" si="27"/>
        <v>0</v>
      </c>
      <c r="F159" s="131">
        <v>0</v>
      </c>
      <c r="G159" s="132">
        <v>0</v>
      </c>
      <c r="H159" s="299">
        <v>0</v>
      </c>
      <c r="I159" s="299">
        <v>0</v>
      </c>
      <c r="J159" s="132">
        <v>0</v>
      </c>
      <c r="K159" s="299">
        <v>0</v>
      </c>
      <c r="L159" s="299">
        <v>0</v>
      </c>
      <c r="M159" s="136">
        <v>0</v>
      </c>
    </row>
    <row r="160" spans="1:13" ht="15.75" thickBot="1" x14ac:dyDescent="0.3">
      <c r="A160" s="750"/>
      <c r="B160" s="751"/>
      <c r="C160" s="751"/>
      <c r="D160" s="70" t="s">
        <v>34</v>
      </c>
      <c r="E160" s="67">
        <f t="shared" si="27"/>
        <v>0</v>
      </c>
      <c r="F160" s="133">
        <v>0</v>
      </c>
      <c r="G160" s="134">
        <v>0</v>
      </c>
      <c r="H160" s="300">
        <v>0</v>
      </c>
      <c r="I160" s="300">
        <v>0</v>
      </c>
      <c r="J160" s="134">
        <v>0</v>
      </c>
      <c r="K160" s="300">
        <v>0</v>
      </c>
      <c r="L160" s="300">
        <v>0</v>
      </c>
      <c r="M160" s="137">
        <v>0</v>
      </c>
    </row>
    <row r="161" spans="1:13" x14ac:dyDescent="0.25">
      <c r="A161" s="750" t="s">
        <v>352</v>
      </c>
      <c r="B161" s="751"/>
      <c r="C161" s="751">
        <v>637031</v>
      </c>
      <c r="D161" s="68" t="s">
        <v>25</v>
      </c>
      <c r="E161" s="66">
        <f t="shared" si="27"/>
        <v>0</v>
      </c>
      <c r="F161" s="129">
        <v>0</v>
      </c>
      <c r="G161" s="130">
        <v>0</v>
      </c>
      <c r="H161" s="298">
        <v>0</v>
      </c>
      <c r="I161" s="298">
        <v>0</v>
      </c>
      <c r="J161" s="130">
        <v>0</v>
      </c>
      <c r="K161" s="298">
        <v>0</v>
      </c>
      <c r="L161" s="298">
        <v>0</v>
      </c>
      <c r="M161" s="135">
        <v>0</v>
      </c>
    </row>
    <row r="162" spans="1:13" x14ac:dyDescent="0.25">
      <c r="A162" s="750"/>
      <c r="B162" s="751"/>
      <c r="C162" s="751"/>
      <c r="D162" s="69" t="s">
        <v>26</v>
      </c>
      <c r="E162" s="66">
        <f t="shared" si="27"/>
        <v>0</v>
      </c>
      <c r="F162" s="131">
        <v>0</v>
      </c>
      <c r="G162" s="132">
        <v>0</v>
      </c>
      <c r="H162" s="299">
        <v>0</v>
      </c>
      <c r="I162" s="299">
        <v>0</v>
      </c>
      <c r="J162" s="132">
        <v>0</v>
      </c>
      <c r="K162" s="299">
        <v>0</v>
      </c>
      <c r="L162" s="299">
        <v>0</v>
      </c>
      <c r="M162" s="136">
        <v>0</v>
      </c>
    </row>
    <row r="163" spans="1:13" x14ac:dyDescent="0.25">
      <c r="A163" s="750"/>
      <c r="B163" s="751"/>
      <c r="C163" s="751"/>
      <c r="D163" s="69" t="s">
        <v>27</v>
      </c>
      <c r="E163" s="66">
        <f t="shared" si="27"/>
        <v>0</v>
      </c>
      <c r="F163" s="131">
        <v>0</v>
      </c>
      <c r="G163" s="132">
        <v>0</v>
      </c>
      <c r="H163" s="299">
        <v>0</v>
      </c>
      <c r="I163" s="299">
        <v>0</v>
      </c>
      <c r="J163" s="132">
        <v>0</v>
      </c>
      <c r="K163" s="299">
        <v>0</v>
      </c>
      <c r="L163" s="299">
        <v>0</v>
      </c>
      <c r="M163" s="136">
        <v>0</v>
      </c>
    </row>
    <row r="164" spans="1:13" x14ac:dyDescent="0.25">
      <c r="A164" s="750"/>
      <c r="B164" s="751"/>
      <c r="C164" s="751"/>
      <c r="D164" s="69" t="s">
        <v>28</v>
      </c>
      <c r="E164" s="66">
        <f t="shared" si="27"/>
        <v>0</v>
      </c>
      <c r="F164" s="131">
        <v>0</v>
      </c>
      <c r="G164" s="132">
        <v>0</v>
      </c>
      <c r="H164" s="299">
        <v>0</v>
      </c>
      <c r="I164" s="299">
        <v>0</v>
      </c>
      <c r="J164" s="132">
        <v>0</v>
      </c>
      <c r="K164" s="299">
        <v>0</v>
      </c>
      <c r="L164" s="299">
        <v>0</v>
      </c>
      <c r="M164" s="136">
        <v>0</v>
      </c>
    </row>
    <row r="165" spans="1:13" x14ac:dyDescent="0.25">
      <c r="A165" s="750"/>
      <c r="B165" s="751"/>
      <c r="C165" s="751"/>
      <c r="D165" s="69" t="s">
        <v>29</v>
      </c>
      <c r="E165" s="66">
        <f t="shared" si="27"/>
        <v>0</v>
      </c>
      <c r="F165" s="131">
        <v>0</v>
      </c>
      <c r="G165" s="132">
        <v>0</v>
      </c>
      <c r="H165" s="299">
        <v>0</v>
      </c>
      <c r="I165" s="299">
        <v>0</v>
      </c>
      <c r="J165" s="132">
        <v>0</v>
      </c>
      <c r="K165" s="299">
        <v>0</v>
      </c>
      <c r="L165" s="299">
        <v>0</v>
      </c>
      <c r="M165" s="136">
        <v>0</v>
      </c>
    </row>
    <row r="166" spans="1:13" x14ac:dyDescent="0.25">
      <c r="A166" s="750"/>
      <c r="B166" s="751"/>
      <c r="C166" s="751"/>
      <c r="D166" s="69" t="s">
        <v>30</v>
      </c>
      <c r="E166" s="66">
        <f t="shared" si="27"/>
        <v>0</v>
      </c>
      <c r="F166" s="131">
        <v>0</v>
      </c>
      <c r="G166" s="132">
        <v>0</v>
      </c>
      <c r="H166" s="299">
        <v>0</v>
      </c>
      <c r="I166" s="299">
        <v>0</v>
      </c>
      <c r="J166" s="132">
        <v>0</v>
      </c>
      <c r="K166" s="299">
        <v>0</v>
      </c>
      <c r="L166" s="299">
        <v>0</v>
      </c>
      <c r="M166" s="136">
        <v>0</v>
      </c>
    </row>
    <row r="167" spans="1:13" x14ac:dyDescent="0.25">
      <c r="A167" s="750"/>
      <c r="B167" s="751"/>
      <c r="C167" s="751"/>
      <c r="D167" s="69" t="s">
        <v>31</v>
      </c>
      <c r="E167" s="66">
        <f t="shared" si="27"/>
        <v>0</v>
      </c>
      <c r="F167" s="131">
        <v>0</v>
      </c>
      <c r="G167" s="132">
        <v>0</v>
      </c>
      <c r="H167" s="299">
        <v>0</v>
      </c>
      <c r="I167" s="299">
        <v>0</v>
      </c>
      <c r="J167" s="132">
        <v>0</v>
      </c>
      <c r="K167" s="299">
        <v>0</v>
      </c>
      <c r="L167" s="299">
        <v>0</v>
      </c>
      <c r="M167" s="136">
        <v>0</v>
      </c>
    </row>
    <row r="168" spans="1:13" x14ac:dyDescent="0.25">
      <c r="A168" s="750"/>
      <c r="B168" s="751"/>
      <c r="C168" s="751"/>
      <c r="D168" s="69" t="s">
        <v>32</v>
      </c>
      <c r="E168" s="66">
        <f t="shared" si="27"/>
        <v>0</v>
      </c>
      <c r="F168" s="131">
        <v>0</v>
      </c>
      <c r="G168" s="132">
        <v>0</v>
      </c>
      <c r="H168" s="299">
        <v>0</v>
      </c>
      <c r="I168" s="299">
        <v>0</v>
      </c>
      <c r="J168" s="132">
        <v>0</v>
      </c>
      <c r="K168" s="299">
        <v>0</v>
      </c>
      <c r="L168" s="299">
        <v>0</v>
      </c>
      <c r="M168" s="136">
        <v>0</v>
      </c>
    </row>
    <row r="169" spans="1:13" x14ac:dyDescent="0.25">
      <c r="A169" s="750"/>
      <c r="B169" s="751"/>
      <c r="C169" s="751"/>
      <c r="D169" s="69" t="s">
        <v>33</v>
      </c>
      <c r="E169" s="66">
        <f t="shared" si="27"/>
        <v>0</v>
      </c>
      <c r="F169" s="131">
        <v>0</v>
      </c>
      <c r="G169" s="132">
        <v>0</v>
      </c>
      <c r="H169" s="299">
        <v>0</v>
      </c>
      <c r="I169" s="299">
        <v>0</v>
      </c>
      <c r="J169" s="132">
        <v>0</v>
      </c>
      <c r="K169" s="299">
        <v>0</v>
      </c>
      <c r="L169" s="299">
        <v>0</v>
      </c>
      <c r="M169" s="136">
        <v>0</v>
      </c>
    </row>
    <row r="170" spans="1:13" ht="15.75" thickBot="1" x14ac:dyDescent="0.3">
      <c r="A170" s="750"/>
      <c r="B170" s="751"/>
      <c r="C170" s="751"/>
      <c r="D170" s="70" t="s">
        <v>34</v>
      </c>
      <c r="E170" s="67">
        <f t="shared" si="27"/>
        <v>0</v>
      </c>
      <c r="F170" s="133">
        <v>0</v>
      </c>
      <c r="G170" s="134">
        <v>0</v>
      </c>
      <c r="H170" s="300">
        <v>0</v>
      </c>
      <c r="I170" s="300">
        <v>0</v>
      </c>
      <c r="J170" s="134">
        <v>0</v>
      </c>
      <c r="K170" s="300">
        <v>0</v>
      </c>
      <c r="L170" s="300">
        <v>0</v>
      </c>
      <c r="M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 F141:G141 H141:L141 F131:L1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view="pageBreakPreview" zoomScale="60" zoomScaleNormal="85" workbookViewId="0">
      <selection activeCell="F1" sqref="F1"/>
    </sheetView>
  </sheetViews>
  <sheetFormatPr defaultColWidth="8.85546875" defaultRowHeight="15" outlineLevelRow="1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9" width="19.28515625" customWidth="1" outlineLevel="1"/>
    <col min="10" max="10" width="31" customWidth="1" outlineLevel="1"/>
    <col min="11" max="11" width="19" customWidth="1"/>
  </cols>
  <sheetData>
    <row r="1" spans="1:11" ht="36" customHeight="1" thickBot="1" x14ac:dyDescent="0.4">
      <c r="A1" s="746" t="s">
        <v>100</v>
      </c>
      <c r="B1" s="746"/>
      <c r="C1" s="746"/>
      <c r="D1" s="747"/>
      <c r="E1" s="71" t="s">
        <v>35</v>
      </c>
      <c r="F1" s="329" t="s">
        <v>72</v>
      </c>
      <c r="G1" s="329" t="s">
        <v>73</v>
      </c>
      <c r="H1" s="329" t="s">
        <v>224</v>
      </c>
      <c r="I1" s="329" t="s">
        <v>207</v>
      </c>
      <c r="J1" s="329" t="s">
        <v>357</v>
      </c>
      <c r="K1" s="329" t="s">
        <v>350</v>
      </c>
    </row>
    <row r="2" spans="1:11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5.75" thickBot="1" x14ac:dyDescent="0.3">
      <c r="A3" s="755" t="s">
        <v>90</v>
      </c>
      <c r="B3" s="755"/>
      <c r="C3" s="755"/>
      <c r="D3" s="75"/>
      <c r="E3" s="78">
        <f t="shared" ref="E3:K3" si="0">SUM(E4:E33)</f>
        <v>0</v>
      </c>
      <c r="F3" s="79">
        <f t="shared" si="0"/>
        <v>0</v>
      </c>
      <c r="G3" s="79">
        <f t="shared" si="0"/>
        <v>0</v>
      </c>
      <c r="H3" s="297">
        <f t="shared" si="0"/>
        <v>0</v>
      </c>
      <c r="I3" s="297">
        <f t="shared" si="0"/>
        <v>0</v>
      </c>
      <c r="J3" s="297">
        <f>SUM(J4:J33)</f>
        <v>0</v>
      </c>
      <c r="K3" s="80">
        <f t="shared" si="0"/>
        <v>0</v>
      </c>
    </row>
    <row r="4" spans="1:11" outlineLevel="1" x14ac:dyDescent="0.25">
      <c r="A4" s="750" t="s">
        <v>92</v>
      </c>
      <c r="B4" s="750" t="s">
        <v>95</v>
      </c>
      <c r="C4" s="751">
        <v>713002</v>
      </c>
      <c r="D4" s="68" t="s">
        <v>25</v>
      </c>
      <c r="E4" s="72">
        <f>SUM(F4:K4)</f>
        <v>0</v>
      </c>
      <c r="F4" s="120"/>
      <c r="G4" s="121"/>
      <c r="H4" s="302"/>
      <c r="I4" s="302">
        <v>0</v>
      </c>
      <c r="J4" s="302">
        <v>0</v>
      </c>
      <c r="K4" s="122">
        <v>0</v>
      </c>
    </row>
    <row r="5" spans="1:11" outlineLevel="1" x14ac:dyDescent="0.25">
      <c r="A5" s="750"/>
      <c r="B5" s="751"/>
      <c r="C5" s="751"/>
      <c r="D5" s="69" t="s">
        <v>26</v>
      </c>
      <c r="E5" s="73">
        <f t="shared" ref="E5:E33" si="1">SUM(F5:K5)</f>
        <v>0</v>
      </c>
      <c r="F5" s="123">
        <v>0</v>
      </c>
      <c r="G5" s="124">
        <v>0</v>
      </c>
      <c r="H5" s="303">
        <v>0</v>
      </c>
      <c r="I5" s="303">
        <v>0</v>
      </c>
      <c r="J5" s="303">
        <v>0</v>
      </c>
      <c r="K5" s="125">
        <v>0</v>
      </c>
    </row>
    <row r="6" spans="1:11" outlineLevel="1" x14ac:dyDescent="0.25">
      <c r="A6" s="750"/>
      <c r="B6" s="751"/>
      <c r="C6" s="751"/>
      <c r="D6" s="69" t="s">
        <v>27</v>
      </c>
      <c r="E6" s="73">
        <f t="shared" si="1"/>
        <v>0</v>
      </c>
      <c r="F6" s="123">
        <v>0</v>
      </c>
      <c r="G6" s="124">
        <v>0</v>
      </c>
      <c r="H6" s="303">
        <v>0</v>
      </c>
      <c r="I6" s="303">
        <v>0</v>
      </c>
      <c r="J6" s="303">
        <v>0</v>
      </c>
      <c r="K6" s="125">
        <v>0</v>
      </c>
    </row>
    <row r="7" spans="1:11" outlineLevel="1" x14ac:dyDescent="0.25">
      <c r="A7" s="750"/>
      <c r="B7" s="751"/>
      <c r="C7" s="751"/>
      <c r="D7" s="69" t="s">
        <v>28</v>
      </c>
      <c r="E7" s="73">
        <f t="shared" si="1"/>
        <v>0</v>
      </c>
      <c r="F7" s="123">
        <v>0</v>
      </c>
      <c r="G7" s="124">
        <v>0</v>
      </c>
      <c r="H7" s="303">
        <v>0</v>
      </c>
      <c r="I7" s="303">
        <v>0</v>
      </c>
      <c r="J7" s="303">
        <v>0</v>
      </c>
      <c r="K7" s="125">
        <v>0</v>
      </c>
    </row>
    <row r="8" spans="1:11" outlineLevel="1" x14ac:dyDescent="0.25">
      <c r="A8" s="750"/>
      <c r="B8" s="751"/>
      <c r="C8" s="751"/>
      <c r="D8" s="69" t="s">
        <v>29</v>
      </c>
      <c r="E8" s="73">
        <f t="shared" si="1"/>
        <v>0</v>
      </c>
      <c r="F8" s="123">
        <v>0</v>
      </c>
      <c r="G8" s="124">
        <v>0</v>
      </c>
      <c r="H8" s="303">
        <v>0</v>
      </c>
      <c r="I8" s="303">
        <v>0</v>
      </c>
      <c r="J8" s="303">
        <v>0</v>
      </c>
      <c r="K8" s="125">
        <v>0</v>
      </c>
    </row>
    <row r="9" spans="1:11" outlineLevel="1" x14ac:dyDescent="0.25">
      <c r="A9" s="750"/>
      <c r="B9" s="751"/>
      <c r="C9" s="751"/>
      <c r="D9" s="69" t="s">
        <v>30</v>
      </c>
      <c r="E9" s="73">
        <f t="shared" si="1"/>
        <v>0</v>
      </c>
      <c r="F9" s="123">
        <v>0</v>
      </c>
      <c r="G9" s="124">
        <v>0</v>
      </c>
      <c r="H9" s="303">
        <v>0</v>
      </c>
      <c r="I9" s="303">
        <v>0</v>
      </c>
      <c r="J9" s="303">
        <v>0</v>
      </c>
      <c r="K9" s="125">
        <v>0</v>
      </c>
    </row>
    <row r="10" spans="1:11" outlineLevel="1" x14ac:dyDescent="0.25">
      <c r="A10" s="750"/>
      <c r="B10" s="751"/>
      <c r="C10" s="751"/>
      <c r="D10" s="69" t="s">
        <v>31</v>
      </c>
      <c r="E10" s="73">
        <f t="shared" si="1"/>
        <v>0</v>
      </c>
      <c r="F10" s="123">
        <v>0</v>
      </c>
      <c r="G10" s="124">
        <v>0</v>
      </c>
      <c r="H10" s="303">
        <v>0</v>
      </c>
      <c r="I10" s="303">
        <v>0</v>
      </c>
      <c r="J10" s="303">
        <v>0</v>
      </c>
      <c r="K10" s="125">
        <v>0</v>
      </c>
    </row>
    <row r="11" spans="1:11" outlineLevel="1" x14ac:dyDescent="0.25">
      <c r="A11" s="750"/>
      <c r="B11" s="751"/>
      <c r="C11" s="751"/>
      <c r="D11" s="69" t="s">
        <v>32</v>
      </c>
      <c r="E11" s="73">
        <f t="shared" si="1"/>
        <v>0</v>
      </c>
      <c r="F11" s="123">
        <v>0</v>
      </c>
      <c r="G11" s="124">
        <v>0</v>
      </c>
      <c r="H11" s="303">
        <v>0</v>
      </c>
      <c r="I11" s="303">
        <v>0</v>
      </c>
      <c r="J11" s="303">
        <v>0</v>
      </c>
      <c r="K11" s="125">
        <v>0</v>
      </c>
    </row>
    <row r="12" spans="1:11" outlineLevel="1" x14ac:dyDescent="0.25">
      <c r="A12" s="750"/>
      <c r="B12" s="751"/>
      <c r="C12" s="751"/>
      <c r="D12" s="69" t="s">
        <v>33</v>
      </c>
      <c r="E12" s="73">
        <f t="shared" si="1"/>
        <v>0</v>
      </c>
      <c r="F12" s="123">
        <v>0</v>
      </c>
      <c r="G12" s="124">
        <v>0</v>
      </c>
      <c r="H12" s="303">
        <v>0</v>
      </c>
      <c r="I12" s="303">
        <v>0</v>
      </c>
      <c r="J12" s="303">
        <v>0</v>
      </c>
      <c r="K12" s="125">
        <v>0</v>
      </c>
    </row>
    <row r="13" spans="1:11" ht="15.75" outlineLevel="1" thickBot="1" x14ac:dyDescent="0.3">
      <c r="A13" s="750"/>
      <c r="B13" s="751"/>
      <c r="C13" s="751"/>
      <c r="D13" s="70" t="s">
        <v>34</v>
      </c>
      <c r="E13" s="74">
        <f t="shared" si="1"/>
        <v>0</v>
      </c>
      <c r="F13" s="126">
        <v>0</v>
      </c>
      <c r="G13" s="127">
        <v>0</v>
      </c>
      <c r="H13" s="304">
        <v>0</v>
      </c>
      <c r="I13" s="304">
        <v>0</v>
      </c>
      <c r="J13" s="304">
        <v>0</v>
      </c>
      <c r="K13" s="128">
        <v>0</v>
      </c>
    </row>
    <row r="14" spans="1:11" ht="15" customHeight="1" outlineLevel="1" x14ac:dyDescent="0.25">
      <c r="A14" s="750" t="s">
        <v>93</v>
      </c>
      <c r="B14" s="750" t="s">
        <v>117</v>
      </c>
      <c r="C14" s="751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302">
        <v>0</v>
      </c>
      <c r="I14" s="302">
        <v>0</v>
      </c>
      <c r="J14" s="302">
        <v>0</v>
      </c>
      <c r="K14" s="122">
        <v>0</v>
      </c>
    </row>
    <row r="15" spans="1:11" outlineLevel="1" x14ac:dyDescent="0.25">
      <c r="A15" s="750"/>
      <c r="B15" s="751"/>
      <c r="C15" s="751"/>
      <c r="D15" s="69" t="s">
        <v>26</v>
      </c>
      <c r="E15" s="73">
        <f t="shared" si="1"/>
        <v>0</v>
      </c>
      <c r="F15" s="123">
        <v>0</v>
      </c>
      <c r="G15" s="124">
        <v>0</v>
      </c>
      <c r="H15" s="303">
        <v>0</v>
      </c>
      <c r="I15" s="303">
        <v>0</v>
      </c>
      <c r="J15" s="303">
        <v>0</v>
      </c>
      <c r="K15" s="125">
        <v>0</v>
      </c>
    </row>
    <row r="16" spans="1:11" outlineLevel="1" x14ac:dyDescent="0.25">
      <c r="A16" s="750"/>
      <c r="B16" s="751"/>
      <c r="C16" s="751"/>
      <c r="D16" s="69" t="s">
        <v>27</v>
      </c>
      <c r="E16" s="73">
        <f t="shared" si="1"/>
        <v>0</v>
      </c>
      <c r="F16" s="123">
        <v>0</v>
      </c>
      <c r="G16" s="124">
        <v>0</v>
      </c>
      <c r="H16" s="303">
        <v>0</v>
      </c>
      <c r="I16" s="303">
        <v>0</v>
      </c>
      <c r="J16" s="303">
        <v>0</v>
      </c>
      <c r="K16" s="125">
        <v>0</v>
      </c>
    </row>
    <row r="17" spans="1:11" outlineLevel="1" x14ac:dyDescent="0.25">
      <c r="A17" s="750"/>
      <c r="B17" s="751"/>
      <c r="C17" s="751"/>
      <c r="D17" s="69" t="s">
        <v>28</v>
      </c>
      <c r="E17" s="73">
        <f t="shared" si="1"/>
        <v>0</v>
      </c>
      <c r="F17" s="123">
        <v>0</v>
      </c>
      <c r="G17" s="124">
        <v>0</v>
      </c>
      <c r="H17" s="303">
        <v>0</v>
      </c>
      <c r="I17" s="303">
        <v>0</v>
      </c>
      <c r="J17" s="303">
        <v>0</v>
      </c>
      <c r="K17" s="125">
        <v>0</v>
      </c>
    </row>
    <row r="18" spans="1:11" outlineLevel="1" x14ac:dyDescent="0.25">
      <c r="A18" s="750"/>
      <c r="B18" s="751"/>
      <c r="C18" s="751"/>
      <c r="D18" s="69" t="s">
        <v>29</v>
      </c>
      <c r="E18" s="73">
        <f t="shared" si="1"/>
        <v>0</v>
      </c>
      <c r="F18" s="123">
        <v>0</v>
      </c>
      <c r="G18" s="124">
        <v>0</v>
      </c>
      <c r="H18" s="303">
        <v>0</v>
      </c>
      <c r="I18" s="303">
        <v>0</v>
      </c>
      <c r="J18" s="303">
        <v>0</v>
      </c>
      <c r="K18" s="125">
        <v>0</v>
      </c>
    </row>
    <row r="19" spans="1:11" outlineLevel="1" x14ac:dyDescent="0.25">
      <c r="A19" s="750"/>
      <c r="B19" s="751"/>
      <c r="C19" s="751"/>
      <c r="D19" s="69" t="s">
        <v>30</v>
      </c>
      <c r="E19" s="73">
        <f t="shared" si="1"/>
        <v>0</v>
      </c>
      <c r="F19" s="123">
        <v>0</v>
      </c>
      <c r="G19" s="124">
        <v>0</v>
      </c>
      <c r="H19" s="303">
        <v>0</v>
      </c>
      <c r="I19" s="303">
        <v>0</v>
      </c>
      <c r="J19" s="303">
        <v>0</v>
      </c>
      <c r="K19" s="125">
        <v>0</v>
      </c>
    </row>
    <row r="20" spans="1:11" outlineLevel="1" x14ac:dyDescent="0.25">
      <c r="A20" s="750"/>
      <c r="B20" s="751"/>
      <c r="C20" s="751"/>
      <c r="D20" s="69" t="s">
        <v>31</v>
      </c>
      <c r="E20" s="73">
        <f t="shared" si="1"/>
        <v>0</v>
      </c>
      <c r="F20" s="123">
        <v>0</v>
      </c>
      <c r="G20" s="124">
        <v>0</v>
      </c>
      <c r="H20" s="303">
        <v>0</v>
      </c>
      <c r="I20" s="303">
        <v>0</v>
      </c>
      <c r="J20" s="303">
        <v>0</v>
      </c>
      <c r="K20" s="125">
        <v>0</v>
      </c>
    </row>
    <row r="21" spans="1:11" outlineLevel="1" x14ac:dyDescent="0.25">
      <c r="A21" s="750"/>
      <c r="B21" s="751"/>
      <c r="C21" s="751"/>
      <c r="D21" s="69" t="s">
        <v>32</v>
      </c>
      <c r="E21" s="73">
        <f t="shared" si="1"/>
        <v>0</v>
      </c>
      <c r="F21" s="123">
        <v>0</v>
      </c>
      <c r="G21" s="124">
        <v>0</v>
      </c>
      <c r="H21" s="303">
        <v>0</v>
      </c>
      <c r="I21" s="303">
        <v>0</v>
      </c>
      <c r="J21" s="303">
        <v>0</v>
      </c>
      <c r="K21" s="125">
        <v>0</v>
      </c>
    </row>
    <row r="22" spans="1:11" outlineLevel="1" x14ac:dyDescent="0.25">
      <c r="A22" s="750"/>
      <c r="B22" s="751"/>
      <c r="C22" s="751"/>
      <c r="D22" s="69" t="s">
        <v>33</v>
      </c>
      <c r="E22" s="73">
        <f t="shared" si="1"/>
        <v>0</v>
      </c>
      <c r="F22" s="123">
        <v>0</v>
      </c>
      <c r="G22" s="124">
        <v>0</v>
      </c>
      <c r="H22" s="303">
        <v>0</v>
      </c>
      <c r="I22" s="303">
        <v>0</v>
      </c>
      <c r="J22" s="303">
        <v>0</v>
      </c>
      <c r="K22" s="125">
        <v>0</v>
      </c>
    </row>
    <row r="23" spans="1:11" ht="15.75" outlineLevel="1" thickBot="1" x14ac:dyDescent="0.3">
      <c r="A23" s="750"/>
      <c r="B23" s="751"/>
      <c r="C23" s="751"/>
      <c r="D23" s="70" t="s">
        <v>34</v>
      </c>
      <c r="E23" s="74">
        <f t="shared" si="1"/>
        <v>0</v>
      </c>
      <c r="F23" s="126">
        <v>0</v>
      </c>
      <c r="G23" s="127">
        <v>0</v>
      </c>
      <c r="H23" s="304">
        <v>0</v>
      </c>
      <c r="I23" s="304">
        <v>0</v>
      </c>
      <c r="J23" s="304">
        <v>0</v>
      </c>
      <c r="K23" s="128">
        <v>0</v>
      </c>
    </row>
    <row r="24" spans="1:11" outlineLevel="1" x14ac:dyDescent="0.25">
      <c r="A24" s="750" t="s">
        <v>94</v>
      </c>
      <c r="B24" s="751" t="s">
        <v>80</v>
      </c>
      <c r="C24" s="751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302">
        <v>0</v>
      </c>
      <c r="I24" s="302">
        <v>0</v>
      </c>
      <c r="J24" s="302">
        <v>0</v>
      </c>
      <c r="K24" s="122">
        <v>0</v>
      </c>
    </row>
    <row r="25" spans="1:11" outlineLevel="1" x14ac:dyDescent="0.25">
      <c r="A25" s="750"/>
      <c r="B25" s="751"/>
      <c r="C25" s="751"/>
      <c r="D25" s="69" t="s">
        <v>26</v>
      </c>
      <c r="E25" s="73">
        <f t="shared" si="1"/>
        <v>0</v>
      </c>
      <c r="F25" s="123">
        <v>0</v>
      </c>
      <c r="G25" s="124">
        <v>0</v>
      </c>
      <c r="H25" s="303">
        <v>0</v>
      </c>
      <c r="I25" s="303">
        <v>0</v>
      </c>
      <c r="J25" s="303">
        <v>0</v>
      </c>
      <c r="K25" s="125">
        <v>0</v>
      </c>
    </row>
    <row r="26" spans="1:11" outlineLevel="1" x14ac:dyDescent="0.25">
      <c r="A26" s="750"/>
      <c r="B26" s="751"/>
      <c r="C26" s="751"/>
      <c r="D26" s="69" t="s">
        <v>27</v>
      </c>
      <c r="E26" s="73">
        <f t="shared" si="1"/>
        <v>0</v>
      </c>
      <c r="F26" s="123">
        <v>0</v>
      </c>
      <c r="G26" s="124">
        <v>0</v>
      </c>
      <c r="H26" s="303">
        <v>0</v>
      </c>
      <c r="I26" s="303">
        <v>0</v>
      </c>
      <c r="J26" s="303">
        <v>0</v>
      </c>
      <c r="K26" s="125">
        <v>0</v>
      </c>
    </row>
    <row r="27" spans="1:11" outlineLevel="1" x14ac:dyDescent="0.25">
      <c r="A27" s="750"/>
      <c r="B27" s="751"/>
      <c r="C27" s="751"/>
      <c r="D27" s="69" t="s">
        <v>28</v>
      </c>
      <c r="E27" s="73">
        <f t="shared" si="1"/>
        <v>0</v>
      </c>
      <c r="F27" s="123">
        <v>0</v>
      </c>
      <c r="G27" s="124">
        <v>0</v>
      </c>
      <c r="H27" s="303">
        <v>0</v>
      </c>
      <c r="I27" s="303">
        <v>0</v>
      </c>
      <c r="J27" s="303">
        <v>0</v>
      </c>
      <c r="K27" s="125">
        <v>0</v>
      </c>
    </row>
    <row r="28" spans="1:11" outlineLevel="1" x14ac:dyDescent="0.25">
      <c r="A28" s="750"/>
      <c r="B28" s="751"/>
      <c r="C28" s="751"/>
      <c r="D28" s="69" t="s">
        <v>29</v>
      </c>
      <c r="E28" s="73">
        <f t="shared" si="1"/>
        <v>0</v>
      </c>
      <c r="F28" s="123">
        <v>0</v>
      </c>
      <c r="G28" s="124">
        <v>0</v>
      </c>
      <c r="H28" s="303">
        <v>0</v>
      </c>
      <c r="I28" s="303">
        <v>0</v>
      </c>
      <c r="J28" s="303">
        <v>0</v>
      </c>
      <c r="K28" s="125">
        <v>0</v>
      </c>
    </row>
    <row r="29" spans="1:11" outlineLevel="1" x14ac:dyDescent="0.25">
      <c r="A29" s="750"/>
      <c r="B29" s="751"/>
      <c r="C29" s="751"/>
      <c r="D29" s="69" t="s">
        <v>30</v>
      </c>
      <c r="E29" s="73">
        <f t="shared" si="1"/>
        <v>0</v>
      </c>
      <c r="F29" s="123">
        <v>0</v>
      </c>
      <c r="G29" s="124">
        <v>0</v>
      </c>
      <c r="H29" s="303">
        <v>0</v>
      </c>
      <c r="I29" s="303">
        <v>0</v>
      </c>
      <c r="J29" s="303">
        <v>0</v>
      </c>
      <c r="K29" s="125">
        <v>0</v>
      </c>
    </row>
    <row r="30" spans="1:11" outlineLevel="1" x14ac:dyDescent="0.25">
      <c r="A30" s="750"/>
      <c r="B30" s="751"/>
      <c r="C30" s="751"/>
      <c r="D30" s="69" t="s">
        <v>31</v>
      </c>
      <c r="E30" s="73">
        <f t="shared" si="1"/>
        <v>0</v>
      </c>
      <c r="F30" s="123">
        <v>0</v>
      </c>
      <c r="G30" s="124">
        <v>0</v>
      </c>
      <c r="H30" s="303">
        <v>0</v>
      </c>
      <c r="I30" s="303">
        <v>0</v>
      </c>
      <c r="J30" s="303">
        <v>0</v>
      </c>
      <c r="K30" s="125">
        <v>0</v>
      </c>
    </row>
    <row r="31" spans="1:11" outlineLevel="1" x14ac:dyDescent="0.25">
      <c r="A31" s="750"/>
      <c r="B31" s="751"/>
      <c r="C31" s="751"/>
      <c r="D31" s="69" t="s">
        <v>32</v>
      </c>
      <c r="E31" s="73">
        <f t="shared" si="1"/>
        <v>0</v>
      </c>
      <c r="F31" s="123">
        <v>0</v>
      </c>
      <c r="G31" s="124">
        <v>0</v>
      </c>
      <c r="H31" s="303">
        <v>0</v>
      </c>
      <c r="I31" s="303">
        <v>0</v>
      </c>
      <c r="J31" s="303">
        <v>0</v>
      </c>
      <c r="K31" s="125">
        <v>0</v>
      </c>
    </row>
    <row r="32" spans="1:11" outlineLevel="1" x14ac:dyDescent="0.25">
      <c r="A32" s="750"/>
      <c r="B32" s="751"/>
      <c r="C32" s="751"/>
      <c r="D32" s="69" t="s">
        <v>33</v>
      </c>
      <c r="E32" s="73">
        <f t="shared" si="1"/>
        <v>0</v>
      </c>
      <c r="F32" s="123">
        <v>0</v>
      </c>
      <c r="G32" s="124">
        <v>0</v>
      </c>
      <c r="H32" s="303">
        <v>0</v>
      </c>
      <c r="I32" s="303">
        <v>0</v>
      </c>
      <c r="J32" s="303">
        <v>0</v>
      </c>
      <c r="K32" s="125">
        <v>0</v>
      </c>
    </row>
    <row r="33" spans="1:11" ht="15.75" outlineLevel="1" thickBot="1" x14ac:dyDescent="0.3">
      <c r="A33" s="750"/>
      <c r="B33" s="751"/>
      <c r="C33" s="751"/>
      <c r="D33" s="70" t="s">
        <v>34</v>
      </c>
      <c r="E33" s="73">
        <f t="shared" si="1"/>
        <v>0</v>
      </c>
      <c r="F33" s="126">
        <v>0</v>
      </c>
      <c r="G33" s="127">
        <v>0</v>
      </c>
      <c r="H33" s="304">
        <v>0</v>
      </c>
      <c r="I33" s="304">
        <v>0</v>
      </c>
      <c r="J33" s="304">
        <v>0</v>
      </c>
      <c r="K33" s="128">
        <v>0</v>
      </c>
    </row>
    <row r="34" spans="1:11" ht="15.75" thickBot="1" x14ac:dyDescent="0.3">
      <c r="A34" s="752" t="s">
        <v>91</v>
      </c>
      <c r="B34" s="752"/>
      <c r="C34" s="752"/>
      <c r="D34" s="77"/>
      <c r="E34" s="78">
        <f t="shared" ref="E34:K34" si="2">SUM(E35:E84)</f>
        <v>0</v>
      </c>
      <c r="F34" s="79">
        <f t="shared" si="2"/>
        <v>0</v>
      </c>
      <c r="G34" s="79">
        <f t="shared" si="2"/>
        <v>0</v>
      </c>
      <c r="H34" s="297">
        <f t="shared" si="2"/>
        <v>0</v>
      </c>
      <c r="I34" s="297">
        <f t="shared" si="2"/>
        <v>0</v>
      </c>
      <c r="J34" s="297">
        <f>SUM(J35:J84)</f>
        <v>0</v>
      </c>
      <c r="K34" s="80">
        <f t="shared" si="2"/>
        <v>0</v>
      </c>
    </row>
    <row r="35" spans="1:11" outlineLevel="1" x14ac:dyDescent="0.25">
      <c r="A35" s="750" t="s">
        <v>96</v>
      </c>
      <c r="B35" s="751" t="s">
        <v>83</v>
      </c>
      <c r="C35" s="751">
        <v>635002</v>
      </c>
      <c r="D35" s="68" t="s">
        <v>25</v>
      </c>
      <c r="E35" s="72">
        <f t="shared" ref="E35:E84" si="3">SUM(F35:K35)</f>
        <v>0</v>
      </c>
      <c r="F35" s="120"/>
      <c r="G35" s="121"/>
      <c r="H35" s="302"/>
      <c r="I35" s="302">
        <v>0</v>
      </c>
      <c r="J35" s="302">
        <v>0</v>
      </c>
      <c r="K35" s="122">
        <v>0</v>
      </c>
    </row>
    <row r="36" spans="1:11" outlineLevel="1" x14ac:dyDescent="0.25">
      <c r="A36" s="750"/>
      <c r="B36" s="751"/>
      <c r="C36" s="751"/>
      <c r="D36" s="69" t="s">
        <v>26</v>
      </c>
      <c r="E36" s="73">
        <f t="shared" si="3"/>
        <v>0</v>
      </c>
      <c r="F36" s="123"/>
      <c r="G36" s="124"/>
      <c r="H36" s="303"/>
      <c r="I36" s="303">
        <v>0</v>
      </c>
      <c r="J36" s="303">
        <v>0</v>
      </c>
      <c r="K36" s="125">
        <v>0</v>
      </c>
    </row>
    <row r="37" spans="1:11" outlineLevel="1" x14ac:dyDescent="0.25">
      <c r="A37" s="750"/>
      <c r="B37" s="751"/>
      <c r="C37" s="751"/>
      <c r="D37" s="69" t="s">
        <v>27</v>
      </c>
      <c r="E37" s="73">
        <f t="shared" si="3"/>
        <v>0</v>
      </c>
      <c r="F37" s="123"/>
      <c r="G37" s="124"/>
      <c r="H37" s="303"/>
      <c r="I37" s="303">
        <v>0</v>
      </c>
      <c r="J37" s="303">
        <v>0</v>
      </c>
      <c r="K37" s="125">
        <v>0</v>
      </c>
    </row>
    <row r="38" spans="1:11" outlineLevel="1" x14ac:dyDescent="0.25">
      <c r="A38" s="750"/>
      <c r="B38" s="751"/>
      <c r="C38" s="751"/>
      <c r="D38" s="69" t="s">
        <v>28</v>
      </c>
      <c r="E38" s="73">
        <f t="shared" si="3"/>
        <v>0</v>
      </c>
      <c r="F38" s="123"/>
      <c r="G38" s="124"/>
      <c r="H38" s="303"/>
      <c r="I38" s="303">
        <v>0</v>
      </c>
      <c r="J38" s="303">
        <v>0</v>
      </c>
      <c r="K38" s="125">
        <v>0</v>
      </c>
    </row>
    <row r="39" spans="1:11" outlineLevel="1" x14ac:dyDescent="0.25">
      <c r="A39" s="750"/>
      <c r="B39" s="751"/>
      <c r="C39" s="751"/>
      <c r="D39" s="69" t="s">
        <v>29</v>
      </c>
      <c r="E39" s="73">
        <f t="shared" si="3"/>
        <v>0</v>
      </c>
      <c r="F39" s="123"/>
      <c r="G39" s="124"/>
      <c r="H39" s="303"/>
      <c r="I39" s="303">
        <v>0</v>
      </c>
      <c r="J39" s="303">
        <v>0</v>
      </c>
      <c r="K39" s="125">
        <v>0</v>
      </c>
    </row>
    <row r="40" spans="1:11" outlineLevel="1" x14ac:dyDescent="0.25">
      <c r="A40" s="750"/>
      <c r="B40" s="751"/>
      <c r="C40" s="751"/>
      <c r="D40" s="69" t="s">
        <v>30</v>
      </c>
      <c r="E40" s="73">
        <f t="shared" si="3"/>
        <v>0</v>
      </c>
      <c r="F40" s="123"/>
      <c r="G40" s="124"/>
      <c r="H40" s="303"/>
      <c r="I40" s="303">
        <v>0</v>
      </c>
      <c r="J40" s="303">
        <v>0</v>
      </c>
      <c r="K40" s="125">
        <v>0</v>
      </c>
    </row>
    <row r="41" spans="1:11" outlineLevel="1" x14ac:dyDescent="0.25">
      <c r="A41" s="750"/>
      <c r="B41" s="751"/>
      <c r="C41" s="751"/>
      <c r="D41" s="69" t="s">
        <v>31</v>
      </c>
      <c r="E41" s="73">
        <f t="shared" si="3"/>
        <v>0</v>
      </c>
      <c r="F41" s="123"/>
      <c r="G41" s="124"/>
      <c r="H41" s="303"/>
      <c r="I41" s="303">
        <v>0</v>
      </c>
      <c r="J41" s="303">
        <v>0</v>
      </c>
      <c r="K41" s="125">
        <v>0</v>
      </c>
    </row>
    <row r="42" spans="1:11" outlineLevel="1" x14ac:dyDescent="0.25">
      <c r="A42" s="750"/>
      <c r="B42" s="751"/>
      <c r="C42" s="751"/>
      <c r="D42" s="69" t="s">
        <v>32</v>
      </c>
      <c r="E42" s="73">
        <f t="shared" si="3"/>
        <v>0</v>
      </c>
      <c r="F42" s="123"/>
      <c r="G42" s="124"/>
      <c r="H42" s="303"/>
      <c r="I42" s="303">
        <v>0</v>
      </c>
      <c r="J42" s="303">
        <v>0</v>
      </c>
      <c r="K42" s="125">
        <v>0</v>
      </c>
    </row>
    <row r="43" spans="1:11" outlineLevel="1" x14ac:dyDescent="0.25">
      <c r="A43" s="750"/>
      <c r="B43" s="751"/>
      <c r="C43" s="751"/>
      <c r="D43" s="69" t="s">
        <v>33</v>
      </c>
      <c r="E43" s="73">
        <f t="shared" si="3"/>
        <v>0</v>
      </c>
      <c r="F43" s="123"/>
      <c r="G43" s="124"/>
      <c r="H43" s="303"/>
      <c r="I43" s="303">
        <v>0</v>
      </c>
      <c r="J43" s="303">
        <v>0</v>
      </c>
      <c r="K43" s="125">
        <v>0</v>
      </c>
    </row>
    <row r="44" spans="1:11" ht="15.75" outlineLevel="1" thickBot="1" x14ac:dyDescent="0.3">
      <c r="A44" s="750"/>
      <c r="B44" s="751"/>
      <c r="C44" s="751"/>
      <c r="D44" s="70" t="s">
        <v>34</v>
      </c>
      <c r="E44" s="74">
        <f t="shared" si="3"/>
        <v>0</v>
      </c>
      <c r="F44" s="126"/>
      <c r="G44" s="127"/>
      <c r="H44" s="304"/>
      <c r="I44" s="304">
        <v>0</v>
      </c>
      <c r="J44" s="304">
        <v>0</v>
      </c>
      <c r="K44" s="128">
        <v>0</v>
      </c>
    </row>
    <row r="45" spans="1:11" outlineLevel="1" x14ac:dyDescent="0.25">
      <c r="A45" s="750" t="s">
        <v>97</v>
      </c>
      <c r="B45" s="750" t="s">
        <v>95</v>
      </c>
      <c r="C45" s="751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302">
        <v>0</v>
      </c>
      <c r="I45" s="302">
        <v>0</v>
      </c>
      <c r="J45" s="302">
        <v>0</v>
      </c>
      <c r="K45" s="122">
        <v>0</v>
      </c>
    </row>
    <row r="46" spans="1:11" outlineLevel="1" x14ac:dyDescent="0.25">
      <c r="A46" s="750"/>
      <c r="B46" s="751"/>
      <c r="C46" s="751"/>
      <c r="D46" s="69" t="s">
        <v>26</v>
      </c>
      <c r="E46" s="73">
        <f t="shared" si="3"/>
        <v>0</v>
      </c>
      <c r="F46" s="123">
        <v>0</v>
      </c>
      <c r="G46" s="124">
        <v>0</v>
      </c>
      <c r="H46" s="303">
        <v>0</v>
      </c>
      <c r="I46" s="303">
        <v>0</v>
      </c>
      <c r="J46" s="303">
        <v>0</v>
      </c>
      <c r="K46" s="125">
        <v>0</v>
      </c>
    </row>
    <row r="47" spans="1:11" outlineLevel="1" x14ac:dyDescent="0.25">
      <c r="A47" s="750"/>
      <c r="B47" s="751"/>
      <c r="C47" s="751"/>
      <c r="D47" s="69" t="s">
        <v>27</v>
      </c>
      <c r="E47" s="73">
        <f t="shared" si="3"/>
        <v>0</v>
      </c>
      <c r="F47" s="123">
        <v>0</v>
      </c>
      <c r="G47" s="124">
        <v>0</v>
      </c>
      <c r="H47" s="303">
        <v>0</v>
      </c>
      <c r="I47" s="303">
        <v>0</v>
      </c>
      <c r="J47" s="303">
        <v>0</v>
      </c>
      <c r="K47" s="125">
        <v>0</v>
      </c>
    </row>
    <row r="48" spans="1:11" outlineLevel="1" x14ac:dyDescent="0.25">
      <c r="A48" s="750"/>
      <c r="B48" s="751"/>
      <c r="C48" s="751"/>
      <c r="D48" s="69" t="s">
        <v>28</v>
      </c>
      <c r="E48" s="73">
        <f t="shared" si="3"/>
        <v>0</v>
      </c>
      <c r="F48" s="123">
        <v>0</v>
      </c>
      <c r="G48" s="124">
        <v>0</v>
      </c>
      <c r="H48" s="303">
        <v>0</v>
      </c>
      <c r="I48" s="303">
        <v>0</v>
      </c>
      <c r="J48" s="303">
        <v>0</v>
      </c>
      <c r="K48" s="125">
        <v>0</v>
      </c>
    </row>
    <row r="49" spans="1:11" outlineLevel="1" x14ac:dyDescent="0.25">
      <c r="A49" s="750"/>
      <c r="B49" s="751"/>
      <c r="C49" s="751"/>
      <c r="D49" s="69" t="s">
        <v>29</v>
      </c>
      <c r="E49" s="73">
        <f t="shared" si="3"/>
        <v>0</v>
      </c>
      <c r="F49" s="123">
        <v>0</v>
      </c>
      <c r="G49" s="124">
        <v>0</v>
      </c>
      <c r="H49" s="303">
        <v>0</v>
      </c>
      <c r="I49" s="303">
        <v>0</v>
      </c>
      <c r="J49" s="303">
        <v>0</v>
      </c>
      <c r="K49" s="125">
        <v>0</v>
      </c>
    </row>
    <row r="50" spans="1:11" outlineLevel="1" x14ac:dyDescent="0.25">
      <c r="A50" s="750"/>
      <c r="B50" s="751"/>
      <c r="C50" s="751"/>
      <c r="D50" s="69" t="s">
        <v>30</v>
      </c>
      <c r="E50" s="73">
        <f t="shared" si="3"/>
        <v>0</v>
      </c>
      <c r="F50" s="123">
        <v>0</v>
      </c>
      <c r="G50" s="124">
        <v>0</v>
      </c>
      <c r="H50" s="303">
        <v>0</v>
      </c>
      <c r="I50" s="303">
        <v>0</v>
      </c>
      <c r="J50" s="303">
        <v>0</v>
      </c>
      <c r="K50" s="125">
        <v>0</v>
      </c>
    </row>
    <row r="51" spans="1:11" outlineLevel="1" x14ac:dyDescent="0.25">
      <c r="A51" s="750"/>
      <c r="B51" s="751"/>
      <c r="C51" s="751"/>
      <c r="D51" s="69" t="s">
        <v>31</v>
      </c>
      <c r="E51" s="73">
        <f t="shared" si="3"/>
        <v>0</v>
      </c>
      <c r="F51" s="123">
        <v>0</v>
      </c>
      <c r="G51" s="124">
        <v>0</v>
      </c>
      <c r="H51" s="303">
        <v>0</v>
      </c>
      <c r="I51" s="303">
        <v>0</v>
      </c>
      <c r="J51" s="303">
        <v>0</v>
      </c>
      <c r="K51" s="125">
        <v>0</v>
      </c>
    </row>
    <row r="52" spans="1:11" outlineLevel="1" x14ac:dyDescent="0.25">
      <c r="A52" s="750"/>
      <c r="B52" s="751"/>
      <c r="C52" s="751"/>
      <c r="D52" s="69" t="s">
        <v>32</v>
      </c>
      <c r="E52" s="73">
        <f t="shared" si="3"/>
        <v>0</v>
      </c>
      <c r="F52" s="123">
        <v>0</v>
      </c>
      <c r="G52" s="124">
        <v>0</v>
      </c>
      <c r="H52" s="303">
        <v>0</v>
      </c>
      <c r="I52" s="303">
        <v>0</v>
      </c>
      <c r="J52" s="303">
        <v>0</v>
      </c>
      <c r="K52" s="125">
        <v>0</v>
      </c>
    </row>
    <row r="53" spans="1:11" outlineLevel="1" x14ac:dyDescent="0.25">
      <c r="A53" s="750"/>
      <c r="B53" s="751"/>
      <c r="C53" s="751"/>
      <c r="D53" s="69" t="s">
        <v>33</v>
      </c>
      <c r="E53" s="73">
        <f t="shared" si="3"/>
        <v>0</v>
      </c>
      <c r="F53" s="123">
        <v>0</v>
      </c>
      <c r="G53" s="124">
        <v>0</v>
      </c>
      <c r="H53" s="303">
        <v>0</v>
      </c>
      <c r="I53" s="303">
        <v>0</v>
      </c>
      <c r="J53" s="303">
        <v>0</v>
      </c>
      <c r="K53" s="125">
        <v>0</v>
      </c>
    </row>
    <row r="54" spans="1:11" ht="15.75" outlineLevel="1" thickBot="1" x14ac:dyDescent="0.3">
      <c r="A54" s="750"/>
      <c r="B54" s="751"/>
      <c r="C54" s="751"/>
      <c r="D54" s="70" t="s">
        <v>34</v>
      </c>
      <c r="E54" s="74">
        <f t="shared" si="3"/>
        <v>0</v>
      </c>
      <c r="F54" s="126">
        <v>0</v>
      </c>
      <c r="G54" s="127">
        <v>0</v>
      </c>
      <c r="H54" s="304">
        <v>0</v>
      </c>
      <c r="I54" s="304">
        <v>0</v>
      </c>
      <c r="J54" s="304">
        <v>0</v>
      </c>
      <c r="K54" s="128">
        <v>0</v>
      </c>
    </row>
    <row r="55" spans="1:11" outlineLevel="1" x14ac:dyDescent="0.25">
      <c r="A55" s="750" t="s">
        <v>98</v>
      </c>
      <c r="B55" s="751"/>
      <c r="C55" s="751"/>
      <c r="D55" s="68" t="s">
        <v>25</v>
      </c>
      <c r="E55" s="73">
        <f t="shared" si="3"/>
        <v>0</v>
      </c>
      <c r="F55" s="120">
        <v>0</v>
      </c>
      <c r="G55" s="121">
        <v>0</v>
      </c>
      <c r="H55" s="302">
        <v>0</v>
      </c>
      <c r="I55" s="302">
        <v>0</v>
      </c>
      <c r="J55" s="302">
        <v>0</v>
      </c>
      <c r="K55" s="122">
        <v>0</v>
      </c>
    </row>
    <row r="56" spans="1:11" outlineLevel="1" x14ac:dyDescent="0.25">
      <c r="A56" s="750"/>
      <c r="B56" s="751"/>
      <c r="C56" s="751"/>
      <c r="D56" s="69" t="s">
        <v>26</v>
      </c>
      <c r="E56" s="73">
        <f t="shared" si="3"/>
        <v>0</v>
      </c>
      <c r="F56" s="123">
        <v>0</v>
      </c>
      <c r="G56" s="124">
        <v>0</v>
      </c>
      <c r="H56" s="303">
        <v>0</v>
      </c>
      <c r="I56" s="303">
        <v>0</v>
      </c>
      <c r="J56" s="303">
        <v>0</v>
      </c>
      <c r="K56" s="125">
        <v>0</v>
      </c>
    </row>
    <row r="57" spans="1:11" outlineLevel="1" x14ac:dyDescent="0.25">
      <c r="A57" s="750"/>
      <c r="B57" s="751"/>
      <c r="C57" s="751"/>
      <c r="D57" s="69" t="s">
        <v>27</v>
      </c>
      <c r="E57" s="73">
        <f t="shared" si="3"/>
        <v>0</v>
      </c>
      <c r="F57" s="123">
        <v>0</v>
      </c>
      <c r="G57" s="124">
        <v>0</v>
      </c>
      <c r="H57" s="303">
        <v>0</v>
      </c>
      <c r="I57" s="303">
        <v>0</v>
      </c>
      <c r="J57" s="303">
        <v>0</v>
      </c>
      <c r="K57" s="125">
        <v>0</v>
      </c>
    </row>
    <row r="58" spans="1:11" outlineLevel="1" x14ac:dyDescent="0.25">
      <c r="A58" s="750"/>
      <c r="B58" s="751"/>
      <c r="C58" s="751"/>
      <c r="D58" s="69" t="s">
        <v>28</v>
      </c>
      <c r="E58" s="73">
        <f t="shared" si="3"/>
        <v>0</v>
      </c>
      <c r="F58" s="123">
        <v>0</v>
      </c>
      <c r="G58" s="124">
        <v>0</v>
      </c>
      <c r="H58" s="303">
        <v>0</v>
      </c>
      <c r="I58" s="303">
        <v>0</v>
      </c>
      <c r="J58" s="303">
        <v>0</v>
      </c>
      <c r="K58" s="125">
        <v>0</v>
      </c>
    </row>
    <row r="59" spans="1:11" outlineLevel="1" x14ac:dyDescent="0.25">
      <c r="A59" s="750"/>
      <c r="B59" s="751"/>
      <c r="C59" s="751"/>
      <c r="D59" s="69" t="s">
        <v>29</v>
      </c>
      <c r="E59" s="73">
        <f t="shared" si="3"/>
        <v>0</v>
      </c>
      <c r="F59" s="123">
        <v>0</v>
      </c>
      <c r="G59" s="124">
        <v>0</v>
      </c>
      <c r="H59" s="303">
        <v>0</v>
      </c>
      <c r="I59" s="303">
        <v>0</v>
      </c>
      <c r="J59" s="303">
        <v>0</v>
      </c>
      <c r="K59" s="125">
        <v>0</v>
      </c>
    </row>
    <row r="60" spans="1:11" outlineLevel="1" x14ac:dyDescent="0.25">
      <c r="A60" s="750"/>
      <c r="B60" s="751"/>
      <c r="C60" s="751"/>
      <c r="D60" s="69" t="s">
        <v>30</v>
      </c>
      <c r="E60" s="73">
        <f t="shared" si="3"/>
        <v>0</v>
      </c>
      <c r="F60" s="123">
        <v>0</v>
      </c>
      <c r="G60" s="124">
        <v>0</v>
      </c>
      <c r="H60" s="303">
        <v>0</v>
      </c>
      <c r="I60" s="303">
        <v>0</v>
      </c>
      <c r="J60" s="303">
        <v>0</v>
      </c>
      <c r="K60" s="125">
        <v>0</v>
      </c>
    </row>
    <row r="61" spans="1:11" outlineLevel="1" x14ac:dyDescent="0.25">
      <c r="A61" s="750"/>
      <c r="B61" s="751"/>
      <c r="C61" s="751"/>
      <c r="D61" s="69" t="s">
        <v>31</v>
      </c>
      <c r="E61" s="73">
        <f t="shared" si="3"/>
        <v>0</v>
      </c>
      <c r="F61" s="123">
        <v>0</v>
      </c>
      <c r="G61" s="124">
        <v>0</v>
      </c>
      <c r="H61" s="303">
        <v>0</v>
      </c>
      <c r="I61" s="303">
        <v>0</v>
      </c>
      <c r="J61" s="303">
        <v>0</v>
      </c>
      <c r="K61" s="125">
        <v>0</v>
      </c>
    </row>
    <row r="62" spans="1:11" outlineLevel="1" x14ac:dyDescent="0.25">
      <c r="A62" s="750"/>
      <c r="B62" s="751"/>
      <c r="C62" s="751"/>
      <c r="D62" s="69" t="s">
        <v>32</v>
      </c>
      <c r="E62" s="73">
        <f t="shared" si="3"/>
        <v>0</v>
      </c>
      <c r="F62" s="123">
        <v>0</v>
      </c>
      <c r="G62" s="124">
        <v>0</v>
      </c>
      <c r="H62" s="303">
        <v>0</v>
      </c>
      <c r="I62" s="303">
        <v>0</v>
      </c>
      <c r="J62" s="303">
        <v>0</v>
      </c>
      <c r="K62" s="125">
        <v>0</v>
      </c>
    </row>
    <row r="63" spans="1:11" outlineLevel="1" x14ac:dyDescent="0.25">
      <c r="A63" s="750"/>
      <c r="B63" s="751"/>
      <c r="C63" s="751"/>
      <c r="D63" s="69" t="s">
        <v>33</v>
      </c>
      <c r="E63" s="73">
        <f t="shared" si="3"/>
        <v>0</v>
      </c>
      <c r="F63" s="123">
        <v>0</v>
      </c>
      <c r="G63" s="124">
        <v>0</v>
      </c>
      <c r="H63" s="303">
        <v>0</v>
      </c>
      <c r="I63" s="303">
        <v>0</v>
      </c>
      <c r="J63" s="303">
        <v>0</v>
      </c>
      <c r="K63" s="125">
        <v>0</v>
      </c>
    </row>
    <row r="64" spans="1:11" ht="15.75" outlineLevel="1" thickBot="1" x14ac:dyDescent="0.3">
      <c r="A64" s="750"/>
      <c r="B64" s="751"/>
      <c r="C64" s="751"/>
      <c r="D64" s="70" t="s">
        <v>34</v>
      </c>
      <c r="E64" s="74">
        <f t="shared" si="3"/>
        <v>0</v>
      </c>
      <c r="F64" s="126">
        <v>0</v>
      </c>
      <c r="G64" s="127">
        <v>0</v>
      </c>
      <c r="H64" s="304">
        <v>0</v>
      </c>
      <c r="I64" s="304">
        <v>0</v>
      </c>
      <c r="J64" s="304">
        <v>0</v>
      </c>
      <c r="K64" s="128">
        <v>0</v>
      </c>
    </row>
    <row r="65" spans="1:11" outlineLevel="1" x14ac:dyDescent="0.25">
      <c r="A65" s="750" t="s">
        <v>99</v>
      </c>
      <c r="B65" s="751"/>
      <c r="C65" s="751"/>
      <c r="D65" s="68" t="s">
        <v>25</v>
      </c>
      <c r="E65" s="73">
        <f t="shared" si="3"/>
        <v>0</v>
      </c>
      <c r="F65" s="120">
        <v>0</v>
      </c>
      <c r="G65" s="121">
        <v>0</v>
      </c>
      <c r="H65" s="302">
        <v>0</v>
      </c>
      <c r="I65" s="302">
        <v>0</v>
      </c>
      <c r="J65" s="302">
        <v>0</v>
      </c>
      <c r="K65" s="122">
        <v>0</v>
      </c>
    </row>
    <row r="66" spans="1:11" outlineLevel="1" x14ac:dyDescent="0.25">
      <c r="A66" s="750"/>
      <c r="B66" s="751"/>
      <c r="C66" s="751"/>
      <c r="D66" s="69" t="s">
        <v>26</v>
      </c>
      <c r="E66" s="73">
        <f t="shared" si="3"/>
        <v>0</v>
      </c>
      <c r="F66" s="123">
        <v>0</v>
      </c>
      <c r="G66" s="124">
        <v>0</v>
      </c>
      <c r="H66" s="303">
        <v>0</v>
      </c>
      <c r="I66" s="303">
        <v>0</v>
      </c>
      <c r="J66" s="303">
        <v>0</v>
      </c>
      <c r="K66" s="125">
        <v>0</v>
      </c>
    </row>
    <row r="67" spans="1:11" outlineLevel="1" x14ac:dyDescent="0.25">
      <c r="A67" s="750"/>
      <c r="B67" s="751"/>
      <c r="C67" s="751"/>
      <c r="D67" s="69" t="s">
        <v>27</v>
      </c>
      <c r="E67" s="73">
        <f t="shared" si="3"/>
        <v>0</v>
      </c>
      <c r="F67" s="123">
        <v>0</v>
      </c>
      <c r="G67" s="124">
        <v>0</v>
      </c>
      <c r="H67" s="303">
        <v>0</v>
      </c>
      <c r="I67" s="303">
        <v>0</v>
      </c>
      <c r="J67" s="303">
        <v>0</v>
      </c>
      <c r="K67" s="125">
        <v>0</v>
      </c>
    </row>
    <row r="68" spans="1:11" outlineLevel="1" x14ac:dyDescent="0.25">
      <c r="A68" s="750"/>
      <c r="B68" s="751"/>
      <c r="C68" s="751"/>
      <c r="D68" s="69" t="s">
        <v>28</v>
      </c>
      <c r="E68" s="73">
        <f t="shared" si="3"/>
        <v>0</v>
      </c>
      <c r="F68" s="123">
        <v>0</v>
      </c>
      <c r="G68" s="124">
        <v>0</v>
      </c>
      <c r="H68" s="303">
        <v>0</v>
      </c>
      <c r="I68" s="303">
        <v>0</v>
      </c>
      <c r="J68" s="303">
        <v>0</v>
      </c>
      <c r="K68" s="125">
        <v>0</v>
      </c>
    </row>
    <row r="69" spans="1:11" outlineLevel="1" x14ac:dyDescent="0.25">
      <c r="A69" s="750"/>
      <c r="B69" s="751"/>
      <c r="C69" s="751"/>
      <c r="D69" s="69" t="s">
        <v>29</v>
      </c>
      <c r="E69" s="73">
        <f t="shared" si="3"/>
        <v>0</v>
      </c>
      <c r="F69" s="123">
        <v>0</v>
      </c>
      <c r="G69" s="124">
        <v>0</v>
      </c>
      <c r="H69" s="303">
        <v>0</v>
      </c>
      <c r="I69" s="303">
        <v>0</v>
      </c>
      <c r="J69" s="303">
        <v>0</v>
      </c>
      <c r="K69" s="125">
        <v>0</v>
      </c>
    </row>
    <row r="70" spans="1:11" outlineLevel="1" x14ac:dyDescent="0.25">
      <c r="A70" s="750"/>
      <c r="B70" s="751"/>
      <c r="C70" s="751"/>
      <c r="D70" s="69" t="s">
        <v>30</v>
      </c>
      <c r="E70" s="73">
        <f t="shared" si="3"/>
        <v>0</v>
      </c>
      <c r="F70" s="123">
        <v>0</v>
      </c>
      <c r="G70" s="124">
        <v>0</v>
      </c>
      <c r="H70" s="303">
        <v>0</v>
      </c>
      <c r="I70" s="303">
        <v>0</v>
      </c>
      <c r="J70" s="303">
        <v>0</v>
      </c>
      <c r="K70" s="125">
        <v>0</v>
      </c>
    </row>
    <row r="71" spans="1:11" outlineLevel="1" x14ac:dyDescent="0.25">
      <c r="A71" s="750"/>
      <c r="B71" s="751"/>
      <c r="C71" s="751"/>
      <c r="D71" s="69" t="s">
        <v>31</v>
      </c>
      <c r="E71" s="73">
        <f t="shared" si="3"/>
        <v>0</v>
      </c>
      <c r="F71" s="123">
        <v>0</v>
      </c>
      <c r="G71" s="124">
        <v>0</v>
      </c>
      <c r="H71" s="303">
        <v>0</v>
      </c>
      <c r="I71" s="303">
        <v>0</v>
      </c>
      <c r="J71" s="303">
        <v>0</v>
      </c>
      <c r="K71" s="125">
        <v>0</v>
      </c>
    </row>
    <row r="72" spans="1:11" outlineLevel="1" x14ac:dyDescent="0.25">
      <c r="A72" s="750"/>
      <c r="B72" s="751"/>
      <c r="C72" s="751"/>
      <c r="D72" s="69" t="s">
        <v>32</v>
      </c>
      <c r="E72" s="73">
        <f t="shared" si="3"/>
        <v>0</v>
      </c>
      <c r="F72" s="123">
        <v>0</v>
      </c>
      <c r="G72" s="124">
        <v>0</v>
      </c>
      <c r="H72" s="303">
        <v>0</v>
      </c>
      <c r="I72" s="303">
        <v>0</v>
      </c>
      <c r="J72" s="303">
        <v>0</v>
      </c>
      <c r="K72" s="125">
        <v>0</v>
      </c>
    </row>
    <row r="73" spans="1:11" outlineLevel="1" x14ac:dyDescent="0.25">
      <c r="A73" s="750"/>
      <c r="B73" s="751"/>
      <c r="C73" s="751"/>
      <c r="D73" s="69" t="s">
        <v>33</v>
      </c>
      <c r="E73" s="73">
        <f t="shared" si="3"/>
        <v>0</v>
      </c>
      <c r="F73" s="123">
        <v>0</v>
      </c>
      <c r="G73" s="124">
        <v>0</v>
      </c>
      <c r="H73" s="303">
        <v>0</v>
      </c>
      <c r="I73" s="303">
        <v>0</v>
      </c>
      <c r="J73" s="303">
        <v>0</v>
      </c>
      <c r="K73" s="125">
        <v>0</v>
      </c>
    </row>
    <row r="74" spans="1:11" ht="15.75" outlineLevel="1" thickBot="1" x14ac:dyDescent="0.3">
      <c r="A74" s="750"/>
      <c r="B74" s="751"/>
      <c r="C74" s="751"/>
      <c r="D74" s="70" t="s">
        <v>34</v>
      </c>
      <c r="E74" s="74">
        <f t="shared" si="3"/>
        <v>0</v>
      </c>
      <c r="F74" s="126">
        <v>0</v>
      </c>
      <c r="G74" s="127">
        <v>0</v>
      </c>
      <c r="H74" s="304">
        <v>0</v>
      </c>
      <c r="I74" s="304">
        <v>0</v>
      </c>
      <c r="J74" s="304">
        <v>0</v>
      </c>
      <c r="K74" s="128">
        <v>0</v>
      </c>
    </row>
    <row r="75" spans="1:11" outlineLevel="1" x14ac:dyDescent="0.25">
      <c r="A75" s="750" t="s">
        <v>94</v>
      </c>
      <c r="B75" s="751" t="s">
        <v>80</v>
      </c>
      <c r="C75" s="751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302">
        <v>0</v>
      </c>
      <c r="I75" s="302">
        <v>0</v>
      </c>
      <c r="J75" s="302">
        <v>0</v>
      </c>
      <c r="K75" s="122">
        <v>0</v>
      </c>
    </row>
    <row r="76" spans="1:11" outlineLevel="1" x14ac:dyDescent="0.25">
      <c r="A76" s="750"/>
      <c r="B76" s="751"/>
      <c r="C76" s="751"/>
      <c r="D76" s="69" t="s">
        <v>26</v>
      </c>
      <c r="E76" s="73">
        <f t="shared" si="3"/>
        <v>0</v>
      </c>
      <c r="F76" s="123">
        <v>0</v>
      </c>
      <c r="G76" s="124">
        <v>0</v>
      </c>
      <c r="H76" s="303">
        <v>0</v>
      </c>
      <c r="I76" s="303">
        <v>0</v>
      </c>
      <c r="J76" s="303">
        <v>0</v>
      </c>
      <c r="K76" s="125">
        <v>0</v>
      </c>
    </row>
    <row r="77" spans="1:11" outlineLevel="1" x14ac:dyDescent="0.25">
      <c r="A77" s="750"/>
      <c r="B77" s="751"/>
      <c r="C77" s="751"/>
      <c r="D77" s="69" t="s">
        <v>27</v>
      </c>
      <c r="E77" s="73">
        <f t="shared" si="3"/>
        <v>0</v>
      </c>
      <c r="F77" s="123">
        <v>0</v>
      </c>
      <c r="G77" s="124">
        <v>0</v>
      </c>
      <c r="H77" s="303">
        <v>0</v>
      </c>
      <c r="I77" s="303">
        <v>0</v>
      </c>
      <c r="J77" s="303">
        <v>0</v>
      </c>
      <c r="K77" s="125">
        <v>0</v>
      </c>
    </row>
    <row r="78" spans="1:11" outlineLevel="1" x14ac:dyDescent="0.25">
      <c r="A78" s="750"/>
      <c r="B78" s="751"/>
      <c r="C78" s="751"/>
      <c r="D78" s="69" t="s">
        <v>28</v>
      </c>
      <c r="E78" s="73">
        <f t="shared" si="3"/>
        <v>0</v>
      </c>
      <c r="F78" s="123">
        <v>0</v>
      </c>
      <c r="G78" s="124">
        <v>0</v>
      </c>
      <c r="H78" s="303">
        <v>0</v>
      </c>
      <c r="I78" s="303">
        <v>0</v>
      </c>
      <c r="J78" s="303">
        <v>0</v>
      </c>
      <c r="K78" s="125">
        <v>0</v>
      </c>
    </row>
    <row r="79" spans="1:11" outlineLevel="1" x14ac:dyDescent="0.25">
      <c r="A79" s="750"/>
      <c r="B79" s="751"/>
      <c r="C79" s="751"/>
      <c r="D79" s="69" t="s">
        <v>29</v>
      </c>
      <c r="E79" s="73">
        <f t="shared" si="3"/>
        <v>0</v>
      </c>
      <c r="F79" s="123">
        <v>0</v>
      </c>
      <c r="G79" s="124">
        <v>0</v>
      </c>
      <c r="H79" s="303">
        <v>0</v>
      </c>
      <c r="I79" s="303">
        <v>0</v>
      </c>
      <c r="J79" s="303">
        <v>0</v>
      </c>
      <c r="K79" s="125">
        <v>0</v>
      </c>
    </row>
    <row r="80" spans="1:11" outlineLevel="1" x14ac:dyDescent="0.25">
      <c r="A80" s="750"/>
      <c r="B80" s="751"/>
      <c r="C80" s="751"/>
      <c r="D80" s="69" t="s">
        <v>30</v>
      </c>
      <c r="E80" s="73">
        <f t="shared" si="3"/>
        <v>0</v>
      </c>
      <c r="F80" s="123">
        <v>0</v>
      </c>
      <c r="G80" s="124">
        <v>0</v>
      </c>
      <c r="H80" s="303">
        <v>0</v>
      </c>
      <c r="I80" s="303">
        <v>0</v>
      </c>
      <c r="J80" s="303">
        <v>0</v>
      </c>
      <c r="K80" s="125">
        <v>0</v>
      </c>
    </row>
    <row r="81" spans="1:11" outlineLevel="1" x14ac:dyDescent="0.25">
      <c r="A81" s="750"/>
      <c r="B81" s="751"/>
      <c r="C81" s="751"/>
      <c r="D81" s="69" t="s">
        <v>31</v>
      </c>
      <c r="E81" s="73">
        <f t="shared" si="3"/>
        <v>0</v>
      </c>
      <c r="F81" s="123">
        <v>0</v>
      </c>
      <c r="G81" s="124">
        <v>0</v>
      </c>
      <c r="H81" s="303">
        <v>0</v>
      </c>
      <c r="I81" s="303">
        <v>0</v>
      </c>
      <c r="J81" s="303">
        <v>0</v>
      </c>
      <c r="K81" s="125">
        <v>0</v>
      </c>
    </row>
    <row r="82" spans="1:11" outlineLevel="1" x14ac:dyDescent="0.25">
      <c r="A82" s="750"/>
      <c r="B82" s="751"/>
      <c r="C82" s="751"/>
      <c r="D82" s="69" t="s">
        <v>32</v>
      </c>
      <c r="E82" s="73">
        <f t="shared" si="3"/>
        <v>0</v>
      </c>
      <c r="F82" s="123">
        <v>0</v>
      </c>
      <c r="G82" s="124">
        <v>0</v>
      </c>
      <c r="H82" s="303">
        <v>0</v>
      </c>
      <c r="I82" s="303">
        <v>0</v>
      </c>
      <c r="J82" s="303">
        <v>0</v>
      </c>
      <c r="K82" s="125">
        <v>0</v>
      </c>
    </row>
    <row r="83" spans="1:11" outlineLevel="1" x14ac:dyDescent="0.25">
      <c r="A83" s="750"/>
      <c r="B83" s="751"/>
      <c r="C83" s="751"/>
      <c r="D83" s="69" t="s">
        <v>33</v>
      </c>
      <c r="E83" s="73">
        <f t="shared" si="3"/>
        <v>0</v>
      </c>
      <c r="F83" s="123">
        <v>0</v>
      </c>
      <c r="G83" s="124">
        <v>0</v>
      </c>
      <c r="H83" s="303">
        <v>0</v>
      </c>
      <c r="I83" s="303">
        <v>0</v>
      </c>
      <c r="J83" s="303">
        <v>0</v>
      </c>
      <c r="K83" s="125">
        <v>0</v>
      </c>
    </row>
    <row r="84" spans="1:11" ht="15.75" outlineLevel="1" thickBot="1" x14ac:dyDescent="0.3">
      <c r="A84" s="750"/>
      <c r="B84" s="751"/>
      <c r="C84" s="751"/>
      <c r="D84" s="70" t="s">
        <v>34</v>
      </c>
      <c r="E84" s="74">
        <f t="shared" si="3"/>
        <v>0</v>
      </c>
      <c r="F84" s="126">
        <v>0</v>
      </c>
      <c r="G84" s="127">
        <v>0</v>
      </c>
      <c r="H84" s="304">
        <v>0</v>
      </c>
      <c r="I84" s="304">
        <v>0</v>
      </c>
      <c r="J84" s="304">
        <v>0</v>
      </c>
      <c r="K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I99"/>
  <sheetViews>
    <sheetView view="pageBreakPreview" topLeftCell="A43" zoomScale="90" zoomScaleNormal="100" zoomScaleSheetLayoutView="90" workbookViewId="0">
      <selection activeCell="W70" sqref="W70"/>
    </sheetView>
  </sheetViews>
  <sheetFormatPr defaultColWidth="8.7109375" defaultRowHeight="12" x14ac:dyDescent="0.2"/>
  <cols>
    <col min="1" max="1" width="32" style="147" customWidth="1"/>
    <col min="2" max="2" width="37" style="147" bestFit="1" customWidth="1"/>
    <col min="3" max="3" width="3.28515625" style="147" customWidth="1"/>
    <col min="4" max="25" width="3.7109375" style="147" customWidth="1"/>
    <col min="26" max="31" width="8" style="147" customWidth="1"/>
    <col min="32" max="32" width="10" style="147" customWidth="1"/>
    <col min="33" max="33" width="10.7109375" style="148" customWidth="1"/>
    <col min="34" max="35" width="10.7109375" style="147" customWidth="1"/>
    <col min="36" max="16384" width="8.7109375" style="147"/>
  </cols>
  <sheetData>
    <row r="1" spans="1:35" ht="12.75" thickBot="1" x14ac:dyDescent="0.25"/>
    <row r="2" spans="1:35" ht="36.75" customHeight="1" x14ac:dyDescent="0.2">
      <c r="A2" s="292" t="s">
        <v>123</v>
      </c>
      <c r="B2" s="293" t="s">
        <v>1</v>
      </c>
      <c r="C2" s="283" t="s">
        <v>124</v>
      </c>
      <c r="D2" s="284" t="s">
        <v>125</v>
      </c>
      <c r="E2" s="284" t="s">
        <v>126</v>
      </c>
      <c r="F2" s="284" t="s">
        <v>127</v>
      </c>
      <c r="G2" s="284" t="s">
        <v>128</v>
      </c>
      <c r="H2" s="284" t="s">
        <v>129</v>
      </c>
      <c r="I2" s="284" t="s">
        <v>130</v>
      </c>
      <c r="J2" s="284" t="s">
        <v>131</v>
      </c>
      <c r="K2" s="284" t="s">
        <v>132</v>
      </c>
      <c r="L2" s="284" t="s">
        <v>133</v>
      </c>
      <c r="M2" s="284" t="s">
        <v>134</v>
      </c>
      <c r="N2" s="285" t="s">
        <v>135</v>
      </c>
      <c r="O2" s="284" t="s">
        <v>136</v>
      </c>
      <c r="P2" s="284" t="s">
        <v>137</v>
      </c>
      <c r="Q2" s="284" t="s">
        <v>138</v>
      </c>
      <c r="R2" s="284" t="s">
        <v>139</v>
      </c>
      <c r="S2" s="284" t="s">
        <v>140</v>
      </c>
      <c r="T2" s="284" t="s">
        <v>141</v>
      </c>
      <c r="U2" s="284" t="s">
        <v>142</v>
      </c>
      <c r="V2" s="284" t="s">
        <v>143</v>
      </c>
      <c r="W2" s="284" t="s">
        <v>144</v>
      </c>
      <c r="X2" s="284" t="s">
        <v>145</v>
      </c>
      <c r="Y2" s="285" t="s">
        <v>146</v>
      </c>
      <c r="Z2" s="270" t="s">
        <v>147</v>
      </c>
      <c r="AA2" s="271" t="s">
        <v>148</v>
      </c>
      <c r="AB2" s="271" t="s">
        <v>149</v>
      </c>
      <c r="AC2" s="271" t="s">
        <v>150</v>
      </c>
      <c r="AD2" s="271" t="s">
        <v>151</v>
      </c>
      <c r="AE2" s="271" t="s">
        <v>152</v>
      </c>
      <c r="AF2" s="270" t="s">
        <v>153</v>
      </c>
      <c r="AG2" s="263" t="s">
        <v>154</v>
      </c>
      <c r="AH2" s="149"/>
      <c r="AI2" s="149"/>
    </row>
    <row r="3" spans="1:35" ht="14.25" customHeight="1" x14ac:dyDescent="0.2">
      <c r="A3" s="150"/>
      <c r="B3" s="151"/>
      <c r="C3" s="286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8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8"/>
      <c r="Z3" s="272"/>
      <c r="AA3" s="273"/>
      <c r="AB3" s="273"/>
      <c r="AC3" s="273"/>
      <c r="AD3" s="273"/>
      <c r="AE3" s="273"/>
      <c r="AF3" s="272"/>
      <c r="AG3" s="280"/>
      <c r="AH3" s="154"/>
      <c r="AI3" s="154"/>
    </row>
    <row r="4" spans="1:35" x14ac:dyDescent="0.2">
      <c r="A4" s="294" t="s">
        <v>476</v>
      </c>
      <c r="B4" s="155"/>
      <c r="C4" s="316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9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/>
      <c r="Z4" s="274"/>
      <c r="AA4" s="275"/>
      <c r="AB4" s="275"/>
      <c r="AC4" s="275"/>
      <c r="AD4" s="275"/>
      <c r="AE4" s="275"/>
      <c r="AF4" s="564"/>
      <c r="AG4" s="565"/>
      <c r="AH4" s="156"/>
    </row>
    <row r="5" spans="1:35" x14ac:dyDescent="0.2">
      <c r="A5" s="642" t="s">
        <v>321</v>
      </c>
      <c r="B5" s="155" t="s">
        <v>491</v>
      </c>
      <c r="C5" s="644"/>
      <c r="D5" s="645">
        <v>1</v>
      </c>
      <c r="E5" s="645">
        <v>1</v>
      </c>
      <c r="F5" s="645">
        <v>1</v>
      </c>
      <c r="G5" s="645"/>
      <c r="H5" s="645"/>
      <c r="I5" s="645"/>
      <c r="J5" s="645"/>
      <c r="K5" s="645"/>
      <c r="L5" s="645"/>
      <c r="M5" s="645"/>
      <c r="N5" s="646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568"/>
      <c r="AA5" s="569">
        <v>64</v>
      </c>
      <c r="AB5" s="290"/>
      <c r="AC5" s="290">
        <v>2</v>
      </c>
      <c r="AD5" s="290"/>
      <c r="AE5" s="508">
        <f>740*1.2</f>
        <v>888</v>
      </c>
      <c r="AF5" s="566">
        <f>Z5*AB5*AD5</f>
        <v>0</v>
      </c>
      <c r="AG5" s="567">
        <f t="shared" ref="AG5:AG14" si="0">AA5*AC5*AE5</f>
        <v>113664</v>
      </c>
      <c r="AH5" s="156"/>
    </row>
    <row r="6" spans="1:35" x14ac:dyDescent="0.2">
      <c r="A6" s="642"/>
      <c r="B6" s="155" t="s">
        <v>492</v>
      </c>
      <c r="C6" s="644"/>
      <c r="D6" s="645"/>
      <c r="E6" s="645"/>
      <c r="F6" s="645"/>
      <c r="G6" s="645">
        <v>1</v>
      </c>
      <c r="H6" s="645">
        <v>1</v>
      </c>
      <c r="I6" s="645">
        <v>1</v>
      </c>
      <c r="J6" s="645"/>
      <c r="K6" s="645"/>
      <c r="L6" s="645"/>
      <c r="M6" s="645"/>
      <c r="N6" s="646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568"/>
      <c r="AA6" s="569">
        <v>25</v>
      </c>
      <c r="AB6" s="290"/>
      <c r="AC6" s="290">
        <v>2</v>
      </c>
      <c r="AD6" s="290"/>
      <c r="AE6" s="508">
        <f>910*1.2</f>
        <v>1092</v>
      </c>
      <c r="AF6" s="566">
        <f t="shared" ref="AF6:AF14" si="1">Z6*AB6*AD6</f>
        <v>0</v>
      </c>
      <c r="AG6" s="567">
        <f t="shared" si="0"/>
        <v>54600</v>
      </c>
      <c r="AH6" s="156"/>
    </row>
    <row r="7" spans="1:35" x14ac:dyDescent="0.2">
      <c r="A7" s="642"/>
      <c r="B7" s="155" t="s">
        <v>493</v>
      </c>
      <c r="C7" s="644"/>
      <c r="D7" s="645"/>
      <c r="E7" s="645"/>
      <c r="F7" s="645"/>
      <c r="G7" s="645"/>
      <c r="H7" s="645"/>
      <c r="I7" s="645">
        <v>1</v>
      </c>
      <c r="J7" s="645">
        <v>1</v>
      </c>
      <c r="K7" s="645"/>
      <c r="L7" s="645"/>
      <c r="M7" s="645"/>
      <c r="N7" s="646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568"/>
      <c r="AA7" s="569">
        <v>45</v>
      </c>
      <c r="AB7" s="290"/>
      <c r="AC7" s="290">
        <v>1</v>
      </c>
      <c r="AD7" s="290"/>
      <c r="AE7" s="508">
        <f>107*1.2</f>
        <v>128.4</v>
      </c>
      <c r="AF7" s="566">
        <f t="shared" si="1"/>
        <v>0</v>
      </c>
      <c r="AG7" s="567">
        <f t="shared" si="0"/>
        <v>5778</v>
      </c>
      <c r="AH7" s="156"/>
    </row>
    <row r="8" spans="1:35" ht="13.35" customHeight="1" x14ac:dyDescent="0.2">
      <c r="A8" s="642"/>
      <c r="B8" s="155" t="s">
        <v>494</v>
      </c>
      <c r="C8" s="644"/>
      <c r="D8" s="645"/>
      <c r="E8" s="645"/>
      <c r="F8" s="645"/>
      <c r="G8" s="645"/>
      <c r="H8" s="645"/>
      <c r="I8" s="645">
        <v>1</v>
      </c>
      <c r="J8" s="645">
        <v>1</v>
      </c>
      <c r="K8" s="645"/>
      <c r="L8" s="645"/>
      <c r="M8" s="645"/>
      <c r="N8" s="646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568"/>
      <c r="AA8" s="569">
        <v>11</v>
      </c>
      <c r="AB8" s="290"/>
      <c r="AC8" s="290">
        <v>1</v>
      </c>
      <c r="AD8" s="290"/>
      <c r="AE8" s="508">
        <f>600*1.2</f>
        <v>720</v>
      </c>
      <c r="AF8" s="566">
        <f t="shared" si="1"/>
        <v>0</v>
      </c>
      <c r="AG8" s="567">
        <f t="shared" si="0"/>
        <v>7920</v>
      </c>
      <c r="AH8" s="156"/>
    </row>
    <row r="9" spans="1:35" x14ac:dyDescent="0.2">
      <c r="A9" s="642" t="s">
        <v>155</v>
      </c>
      <c r="B9" s="155" t="s">
        <v>495</v>
      </c>
      <c r="C9" s="644"/>
      <c r="D9" s="645"/>
      <c r="E9" s="645"/>
      <c r="F9" s="645"/>
      <c r="G9" s="645"/>
      <c r="H9" s="645"/>
      <c r="I9" s="645"/>
      <c r="J9" s="645"/>
      <c r="K9" s="645">
        <v>1</v>
      </c>
      <c r="L9" s="645">
        <v>1</v>
      </c>
      <c r="M9" s="645">
        <v>1</v>
      </c>
      <c r="N9" s="646">
        <v>1</v>
      </c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568"/>
      <c r="AA9" s="569">
        <v>32.5</v>
      </c>
      <c r="AB9" s="290"/>
      <c r="AC9" s="290">
        <v>6</v>
      </c>
      <c r="AD9" s="290"/>
      <c r="AE9" s="508">
        <f>650*1.2</f>
        <v>780</v>
      </c>
      <c r="AF9" s="566">
        <f t="shared" ref="AF9" si="2">Z9*AB9*AD9</f>
        <v>0</v>
      </c>
      <c r="AG9" s="567">
        <f t="shared" ref="AG9" si="3">AA9*AC9*AE9</f>
        <v>152100</v>
      </c>
      <c r="AH9" s="156"/>
    </row>
    <row r="10" spans="1:35" x14ac:dyDescent="0.2">
      <c r="A10" s="642"/>
      <c r="B10" s="155" t="s">
        <v>494</v>
      </c>
      <c r="C10" s="644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6"/>
      <c r="O10" s="645">
        <v>1</v>
      </c>
      <c r="P10" s="645">
        <v>1</v>
      </c>
      <c r="Q10" s="645"/>
      <c r="R10" s="645"/>
      <c r="S10" s="645"/>
      <c r="T10" s="645"/>
      <c r="U10" s="645"/>
      <c r="V10" s="645"/>
      <c r="W10" s="645"/>
      <c r="X10" s="645"/>
      <c r="Y10" s="645"/>
      <c r="Z10" s="568"/>
      <c r="AA10" s="569">
        <v>35</v>
      </c>
      <c r="AB10" s="290"/>
      <c r="AC10" s="290">
        <v>1</v>
      </c>
      <c r="AD10" s="290"/>
      <c r="AE10" s="508">
        <f>600*1.2</f>
        <v>720</v>
      </c>
      <c r="AF10" s="566">
        <f t="shared" si="1"/>
        <v>0</v>
      </c>
      <c r="AG10" s="567">
        <f t="shared" si="0"/>
        <v>25200</v>
      </c>
      <c r="AH10" s="156"/>
    </row>
    <row r="11" spans="1:35" x14ac:dyDescent="0.2">
      <c r="A11" s="642"/>
      <c r="B11" s="155" t="s">
        <v>496</v>
      </c>
      <c r="C11" s="644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6"/>
      <c r="O11" s="645"/>
      <c r="P11" s="645">
        <v>1</v>
      </c>
      <c r="Q11" s="645">
        <v>1</v>
      </c>
      <c r="R11" s="645">
        <v>1</v>
      </c>
      <c r="S11" s="645">
        <v>1</v>
      </c>
      <c r="T11" s="645">
        <v>1</v>
      </c>
      <c r="U11" s="645"/>
      <c r="V11" s="645"/>
      <c r="W11" s="645"/>
      <c r="X11" s="645"/>
      <c r="Y11" s="645"/>
      <c r="Z11" s="568"/>
      <c r="AA11" s="569">
        <v>90</v>
      </c>
      <c r="AB11" s="290"/>
      <c r="AC11" s="290">
        <v>1</v>
      </c>
      <c r="AD11" s="290"/>
      <c r="AE11" s="508">
        <f>107*1.2</f>
        <v>128.4</v>
      </c>
      <c r="AF11" s="566">
        <f t="shared" si="1"/>
        <v>0</v>
      </c>
      <c r="AG11" s="567">
        <f t="shared" si="0"/>
        <v>11556</v>
      </c>
      <c r="AH11" s="156"/>
    </row>
    <row r="12" spans="1:35" x14ac:dyDescent="0.2">
      <c r="A12" s="642" t="s">
        <v>156</v>
      </c>
      <c r="B12" s="155" t="s">
        <v>497</v>
      </c>
      <c r="C12" s="644"/>
      <c r="D12" s="645"/>
      <c r="E12" s="645"/>
      <c r="F12" s="645"/>
      <c r="G12" s="645"/>
      <c r="H12" s="645"/>
      <c r="I12" s="645"/>
      <c r="J12" s="645"/>
      <c r="K12" s="645">
        <v>1</v>
      </c>
      <c r="L12" s="645">
        <v>1</v>
      </c>
      <c r="M12" s="645">
        <v>1</v>
      </c>
      <c r="N12" s="646">
        <v>1</v>
      </c>
      <c r="O12" s="645"/>
      <c r="P12" s="645"/>
      <c r="Q12" s="645"/>
      <c r="R12" s="645"/>
      <c r="S12" s="645"/>
      <c r="T12" s="645"/>
      <c r="U12" s="645">
        <v>1</v>
      </c>
      <c r="V12" s="645">
        <v>1</v>
      </c>
      <c r="W12" s="645">
        <v>1</v>
      </c>
      <c r="X12" s="645"/>
      <c r="Y12" s="645"/>
      <c r="Z12" s="568"/>
      <c r="AA12" s="569">
        <v>35</v>
      </c>
      <c r="AB12" s="290"/>
      <c r="AC12" s="290">
        <v>2</v>
      </c>
      <c r="AD12" s="290"/>
      <c r="AE12" s="508">
        <f>570*1.2</f>
        <v>684</v>
      </c>
      <c r="AF12" s="566">
        <f t="shared" si="1"/>
        <v>0</v>
      </c>
      <c r="AG12" s="567">
        <f t="shared" si="0"/>
        <v>47880</v>
      </c>
      <c r="AH12" s="156"/>
    </row>
    <row r="13" spans="1:35" x14ac:dyDescent="0.2">
      <c r="A13" s="642"/>
      <c r="B13" s="155" t="s">
        <v>498</v>
      </c>
      <c r="C13" s="644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6"/>
      <c r="O13" s="645"/>
      <c r="P13" s="645"/>
      <c r="Q13" s="645"/>
      <c r="R13" s="645"/>
      <c r="S13" s="645">
        <v>1</v>
      </c>
      <c r="T13" s="645">
        <v>1</v>
      </c>
      <c r="U13" s="645">
        <v>1</v>
      </c>
      <c r="V13" s="645"/>
      <c r="W13" s="645"/>
      <c r="X13" s="645"/>
      <c r="Y13" s="645"/>
      <c r="Z13" s="568"/>
      <c r="AA13" s="569">
        <v>25</v>
      </c>
      <c r="AB13" s="290"/>
      <c r="AC13" s="290">
        <v>1</v>
      </c>
      <c r="AD13" s="290"/>
      <c r="AE13" s="508">
        <f>710*1.2</f>
        <v>852</v>
      </c>
      <c r="AF13" s="566">
        <f t="shared" si="1"/>
        <v>0</v>
      </c>
      <c r="AG13" s="567">
        <f t="shared" si="0"/>
        <v>21300</v>
      </c>
      <c r="AH13" s="156"/>
    </row>
    <row r="14" spans="1:35" x14ac:dyDescent="0.2">
      <c r="A14" s="642" t="s">
        <v>157</v>
      </c>
      <c r="B14" s="155" t="s">
        <v>499</v>
      </c>
      <c r="C14" s="644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6"/>
      <c r="O14" s="645"/>
      <c r="P14" s="645"/>
      <c r="Q14" s="645"/>
      <c r="R14" s="645"/>
      <c r="S14" s="645"/>
      <c r="T14" s="645"/>
      <c r="U14" s="645"/>
      <c r="V14" s="645"/>
      <c r="W14" s="645"/>
      <c r="X14" s="645">
        <v>1</v>
      </c>
      <c r="Y14" s="645">
        <v>1</v>
      </c>
      <c r="Z14" s="568"/>
      <c r="AA14" s="569">
        <v>4</v>
      </c>
      <c r="AB14" s="290"/>
      <c r="AC14" s="290">
        <v>1</v>
      </c>
      <c r="AD14" s="290"/>
      <c r="AE14" s="508">
        <f>790*1.2</f>
        <v>948</v>
      </c>
      <c r="AF14" s="566">
        <f t="shared" si="1"/>
        <v>0</v>
      </c>
      <c r="AG14" s="567">
        <f t="shared" si="0"/>
        <v>3792</v>
      </c>
      <c r="AH14" s="156"/>
    </row>
    <row r="15" spans="1:35" x14ac:dyDescent="0.2">
      <c r="A15" s="294"/>
      <c r="B15" s="155" t="s">
        <v>500</v>
      </c>
      <c r="C15" s="644"/>
      <c r="D15" s="645"/>
      <c r="E15" s="645"/>
      <c r="F15" s="645"/>
      <c r="G15" s="645"/>
      <c r="H15" s="645"/>
      <c r="I15" s="645"/>
      <c r="J15" s="645"/>
      <c r="K15" s="645"/>
      <c r="L15" s="645"/>
      <c r="M15" s="645"/>
      <c r="N15" s="646"/>
      <c r="O15" s="645"/>
      <c r="P15" s="645"/>
      <c r="Q15" s="645"/>
      <c r="R15" s="645"/>
      <c r="S15" s="645"/>
      <c r="T15" s="645"/>
      <c r="U15" s="645"/>
      <c r="V15" s="645"/>
      <c r="W15" s="645"/>
      <c r="X15" s="645"/>
      <c r="Y15" s="645">
        <v>1</v>
      </c>
      <c r="Z15" s="568"/>
      <c r="AA15" s="569">
        <v>1</v>
      </c>
      <c r="AB15" s="290"/>
      <c r="AC15" s="290">
        <v>1</v>
      </c>
      <c r="AD15" s="290"/>
      <c r="AE15" s="508">
        <f>900*1.2</f>
        <v>1080</v>
      </c>
      <c r="AF15" s="566">
        <f t="shared" ref="AF15:AF82" si="4">Z15*AB15*AD15</f>
        <v>0</v>
      </c>
      <c r="AG15" s="567">
        <f t="shared" ref="AG15:AG82" si="5">AA15*AC15*AE15</f>
        <v>1080</v>
      </c>
      <c r="AH15" s="156"/>
    </row>
    <row r="16" spans="1:35" x14ac:dyDescent="0.2">
      <c r="A16" s="642"/>
      <c r="B16" s="155" t="s">
        <v>501</v>
      </c>
      <c r="C16" s="644"/>
      <c r="D16" s="645"/>
      <c r="E16" s="645"/>
      <c r="F16" s="645"/>
      <c r="G16" s="645"/>
      <c r="H16" s="645"/>
      <c r="I16" s="645"/>
      <c r="J16" s="645"/>
      <c r="K16" s="645"/>
      <c r="L16" s="645"/>
      <c r="M16" s="645"/>
      <c r="N16" s="646"/>
      <c r="O16" s="645"/>
      <c r="P16" s="645"/>
      <c r="Q16" s="645"/>
      <c r="R16" s="645"/>
      <c r="S16" s="645"/>
      <c r="T16" s="645"/>
      <c r="U16" s="645"/>
      <c r="V16" s="645"/>
      <c r="W16" s="645"/>
      <c r="X16" s="645"/>
      <c r="Y16" s="645">
        <v>1</v>
      </c>
      <c r="Z16" s="568"/>
      <c r="AA16" s="569">
        <v>1</v>
      </c>
      <c r="AB16" s="290"/>
      <c r="AC16" s="290">
        <v>1</v>
      </c>
      <c r="AD16" s="290"/>
      <c r="AE16" s="508">
        <f>1200*1.2</f>
        <v>1440</v>
      </c>
      <c r="AF16" s="566">
        <f t="shared" si="4"/>
        <v>0</v>
      </c>
      <c r="AG16" s="567">
        <f t="shared" si="5"/>
        <v>1440</v>
      </c>
      <c r="AH16" s="156"/>
    </row>
    <row r="17" spans="1:34" x14ac:dyDescent="0.2">
      <c r="A17" s="642"/>
      <c r="B17" s="155"/>
      <c r="C17" s="277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9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568"/>
      <c r="AA17" s="569"/>
      <c r="AB17" s="290"/>
      <c r="AC17" s="290"/>
      <c r="AD17" s="290"/>
      <c r="AE17" s="508"/>
      <c r="AF17" s="566"/>
      <c r="AG17" s="567"/>
      <c r="AH17" s="156"/>
    </row>
    <row r="18" spans="1:34" x14ac:dyDescent="0.2">
      <c r="A18" s="294" t="s">
        <v>477</v>
      </c>
      <c r="B18" s="155"/>
      <c r="C18" s="277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9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568"/>
      <c r="AA18" s="569"/>
      <c r="AB18" s="290"/>
      <c r="AC18" s="290"/>
      <c r="AD18" s="290"/>
      <c r="AE18" s="508"/>
      <c r="AF18" s="566"/>
      <c r="AG18" s="567"/>
      <c r="AH18" s="156"/>
    </row>
    <row r="19" spans="1:34" x14ac:dyDescent="0.2">
      <c r="A19" s="642" t="s">
        <v>321</v>
      </c>
      <c r="B19" s="155" t="s">
        <v>491</v>
      </c>
      <c r="C19" s="644"/>
      <c r="D19" s="645">
        <v>1</v>
      </c>
      <c r="E19" s="645">
        <v>1</v>
      </c>
      <c r="F19" s="645">
        <v>1</v>
      </c>
      <c r="G19" s="645"/>
      <c r="H19" s="645"/>
      <c r="I19" s="645"/>
      <c r="J19" s="645"/>
      <c r="K19" s="645"/>
      <c r="L19" s="645"/>
      <c r="M19" s="645"/>
      <c r="N19" s="646"/>
      <c r="O19" s="645"/>
      <c r="P19" s="645"/>
      <c r="Q19" s="645"/>
      <c r="R19" s="645"/>
      <c r="S19" s="645"/>
      <c r="T19" s="645"/>
      <c r="U19" s="645"/>
      <c r="V19" s="645"/>
      <c r="W19" s="645"/>
      <c r="X19" s="645"/>
      <c r="Y19" s="645"/>
      <c r="Z19" s="568"/>
      <c r="AA19" s="569">
        <v>44.5</v>
      </c>
      <c r="AB19" s="290"/>
      <c r="AC19" s="290">
        <v>2</v>
      </c>
      <c r="AD19" s="290"/>
      <c r="AE19" s="508">
        <f>740*1.2</f>
        <v>888</v>
      </c>
      <c r="AF19" s="566">
        <f t="shared" si="4"/>
        <v>0</v>
      </c>
      <c r="AG19" s="567">
        <f t="shared" si="5"/>
        <v>79032</v>
      </c>
      <c r="AH19" s="156"/>
    </row>
    <row r="20" spans="1:34" x14ac:dyDescent="0.2">
      <c r="A20" s="643"/>
      <c r="B20" s="155" t="s">
        <v>492</v>
      </c>
      <c r="C20" s="644"/>
      <c r="D20" s="645"/>
      <c r="E20" s="645"/>
      <c r="F20" s="645"/>
      <c r="G20" s="645">
        <v>1</v>
      </c>
      <c r="H20" s="645">
        <v>1</v>
      </c>
      <c r="I20" s="645"/>
      <c r="J20" s="645"/>
      <c r="K20" s="645"/>
      <c r="L20" s="645"/>
      <c r="M20" s="645"/>
      <c r="N20" s="646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568"/>
      <c r="AA20" s="569">
        <v>36</v>
      </c>
      <c r="AB20" s="290"/>
      <c r="AC20" s="290">
        <v>1</v>
      </c>
      <c r="AD20" s="290"/>
      <c r="AE20" s="508">
        <f>910*1.2</f>
        <v>1092</v>
      </c>
      <c r="AF20" s="566">
        <f t="shared" si="4"/>
        <v>0</v>
      </c>
      <c r="AG20" s="567">
        <f t="shared" si="5"/>
        <v>39312</v>
      </c>
      <c r="AH20" s="156"/>
    </row>
    <row r="21" spans="1:34" x14ac:dyDescent="0.2">
      <c r="A21" s="643"/>
      <c r="B21" s="155" t="s">
        <v>493</v>
      </c>
      <c r="C21" s="644"/>
      <c r="D21" s="645"/>
      <c r="E21" s="645"/>
      <c r="F21" s="645"/>
      <c r="G21" s="645"/>
      <c r="H21" s="645">
        <v>1</v>
      </c>
      <c r="I21" s="645">
        <v>1</v>
      </c>
      <c r="J21" s="645"/>
      <c r="K21" s="645"/>
      <c r="L21" s="645"/>
      <c r="M21" s="645"/>
      <c r="N21" s="646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568"/>
      <c r="AA21" s="569">
        <v>35</v>
      </c>
      <c r="AB21" s="290"/>
      <c r="AC21" s="290">
        <v>1</v>
      </c>
      <c r="AD21" s="290"/>
      <c r="AE21" s="508">
        <f>107*1.2</f>
        <v>128.4</v>
      </c>
      <c r="AF21" s="566">
        <f t="shared" si="4"/>
        <v>0</v>
      </c>
      <c r="AG21" s="567">
        <f t="shared" si="5"/>
        <v>4494</v>
      </c>
      <c r="AH21" s="156"/>
    </row>
    <row r="22" spans="1:34" x14ac:dyDescent="0.2">
      <c r="A22" s="294"/>
      <c r="B22" s="155" t="s">
        <v>494</v>
      </c>
      <c r="C22" s="644"/>
      <c r="D22" s="645"/>
      <c r="E22" s="645"/>
      <c r="F22" s="645"/>
      <c r="G22" s="645"/>
      <c r="H22" s="645"/>
      <c r="I22" s="645"/>
      <c r="J22" s="645">
        <v>1</v>
      </c>
      <c r="K22" s="645">
        <v>1</v>
      </c>
      <c r="L22" s="645"/>
      <c r="M22" s="645"/>
      <c r="N22" s="646"/>
      <c r="O22" s="645"/>
      <c r="P22" s="645"/>
      <c r="Q22" s="645"/>
      <c r="R22" s="645"/>
      <c r="S22" s="645"/>
      <c r="T22" s="645"/>
      <c r="U22" s="645"/>
      <c r="V22" s="645"/>
      <c r="W22" s="645"/>
      <c r="X22" s="645"/>
      <c r="Y22" s="645"/>
      <c r="Z22" s="568"/>
      <c r="AA22" s="569">
        <v>6</v>
      </c>
      <c r="AB22" s="290"/>
      <c r="AC22" s="290">
        <v>1</v>
      </c>
      <c r="AD22" s="290"/>
      <c r="AE22" s="508">
        <f>600*1.2</f>
        <v>720</v>
      </c>
      <c r="AF22" s="566">
        <f t="shared" si="4"/>
        <v>0</v>
      </c>
      <c r="AG22" s="567">
        <f t="shared" si="5"/>
        <v>4320</v>
      </c>
      <c r="AH22" s="156"/>
    </row>
    <row r="23" spans="1:34" x14ac:dyDescent="0.2">
      <c r="A23" s="642" t="s">
        <v>155</v>
      </c>
      <c r="B23" s="155" t="s">
        <v>495</v>
      </c>
      <c r="C23" s="644"/>
      <c r="D23" s="645"/>
      <c r="E23" s="645"/>
      <c r="F23" s="645"/>
      <c r="G23" s="645"/>
      <c r="H23" s="645"/>
      <c r="I23" s="645"/>
      <c r="J23" s="645"/>
      <c r="K23" s="645"/>
      <c r="L23" s="645">
        <v>1</v>
      </c>
      <c r="M23" s="645">
        <v>1</v>
      </c>
      <c r="N23" s="646">
        <v>1</v>
      </c>
      <c r="O23" s="645">
        <v>1</v>
      </c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568"/>
      <c r="AA23" s="569">
        <v>40</v>
      </c>
      <c r="AB23" s="290"/>
      <c r="AC23" s="290">
        <v>4</v>
      </c>
      <c r="AD23" s="290"/>
      <c r="AE23" s="508">
        <f>650*1.2</f>
        <v>780</v>
      </c>
      <c r="AF23" s="566">
        <f t="shared" si="4"/>
        <v>0</v>
      </c>
      <c r="AG23" s="567">
        <f t="shared" si="5"/>
        <v>124800</v>
      </c>
      <c r="AH23" s="156"/>
    </row>
    <row r="24" spans="1:34" x14ac:dyDescent="0.2">
      <c r="A24" s="642"/>
      <c r="B24" s="155" t="s">
        <v>494</v>
      </c>
      <c r="C24" s="644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6"/>
      <c r="O24" s="645"/>
      <c r="P24" s="645">
        <v>1</v>
      </c>
      <c r="Q24" s="645">
        <v>1</v>
      </c>
      <c r="R24" s="645"/>
      <c r="S24" s="645"/>
      <c r="T24" s="645"/>
      <c r="U24" s="645"/>
      <c r="V24" s="645"/>
      <c r="W24" s="645"/>
      <c r="X24" s="645"/>
      <c r="Y24" s="645"/>
      <c r="Z24" s="568"/>
      <c r="AA24" s="569">
        <v>30</v>
      </c>
      <c r="AB24" s="290"/>
      <c r="AC24" s="290">
        <v>1</v>
      </c>
      <c r="AD24" s="290"/>
      <c r="AE24" s="508">
        <f>600*1.2</f>
        <v>720</v>
      </c>
      <c r="AF24" s="566">
        <f t="shared" si="4"/>
        <v>0</v>
      </c>
      <c r="AG24" s="567">
        <f t="shared" si="5"/>
        <v>21600</v>
      </c>
      <c r="AH24" s="156"/>
    </row>
    <row r="25" spans="1:34" x14ac:dyDescent="0.2">
      <c r="A25" s="642"/>
      <c r="B25" s="155" t="s">
        <v>496</v>
      </c>
      <c r="C25" s="644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6"/>
      <c r="O25" s="645"/>
      <c r="P25" s="645"/>
      <c r="Q25" s="645">
        <v>1</v>
      </c>
      <c r="R25" s="645">
        <v>1</v>
      </c>
      <c r="S25" s="645"/>
      <c r="T25" s="645"/>
      <c r="U25" s="645"/>
      <c r="V25" s="645"/>
      <c r="W25" s="645"/>
      <c r="X25" s="645"/>
      <c r="Y25" s="645"/>
      <c r="Z25" s="568"/>
      <c r="AA25" s="569">
        <v>80</v>
      </c>
      <c r="AB25" s="290"/>
      <c r="AC25" s="290">
        <v>1</v>
      </c>
      <c r="AD25" s="290"/>
      <c r="AE25" s="508">
        <f>107*1.2</f>
        <v>128.4</v>
      </c>
      <c r="AF25" s="566">
        <f t="shared" si="4"/>
        <v>0</v>
      </c>
      <c r="AG25" s="567">
        <f t="shared" si="5"/>
        <v>10272</v>
      </c>
      <c r="AH25" s="156"/>
    </row>
    <row r="26" spans="1:34" x14ac:dyDescent="0.2">
      <c r="A26" s="642" t="s">
        <v>156</v>
      </c>
      <c r="B26" s="155" t="s">
        <v>497</v>
      </c>
      <c r="C26" s="644"/>
      <c r="D26" s="645"/>
      <c r="E26" s="645"/>
      <c r="F26" s="645"/>
      <c r="G26" s="645"/>
      <c r="H26" s="645"/>
      <c r="I26" s="645"/>
      <c r="J26" s="645"/>
      <c r="K26" s="645"/>
      <c r="L26" s="645"/>
      <c r="M26" s="645"/>
      <c r="N26" s="646"/>
      <c r="O26" s="645"/>
      <c r="P26" s="645"/>
      <c r="Q26" s="645"/>
      <c r="R26" s="645"/>
      <c r="S26" s="645"/>
      <c r="T26" s="645">
        <v>1</v>
      </c>
      <c r="U26" s="645">
        <v>1</v>
      </c>
      <c r="V26" s="645"/>
      <c r="W26" s="645"/>
      <c r="X26" s="645"/>
      <c r="Y26" s="645"/>
      <c r="Z26" s="568"/>
      <c r="AA26" s="569">
        <v>30</v>
      </c>
      <c r="AB26" s="290"/>
      <c r="AC26" s="290">
        <v>2</v>
      </c>
      <c r="AD26" s="290"/>
      <c r="AE26" s="508">
        <f>570*1.2</f>
        <v>684</v>
      </c>
      <c r="AF26" s="566">
        <f t="shared" si="4"/>
        <v>0</v>
      </c>
      <c r="AG26" s="567">
        <f t="shared" si="5"/>
        <v>41040</v>
      </c>
      <c r="AH26" s="156"/>
    </row>
    <row r="27" spans="1:34" x14ac:dyDescent="0.2">
      <c r="A27" s="642"/>
      <c r="B27" s="155" t="s">
        <v>498</v>
      </c>
      <c r="C27" s="644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6"/>
      <c r="O27" s="645"/>
      <c r="P27" s="645"/>
      <c r="Q27" s="645"/>
      <c r="R27" s="645">
        <v>1</v>
      </c>
      <c r="S27" s="645">
        <v>1</v>
      </c>
      <c r="T27" s="645">
        <v>1</v>
      </c>
      <c r="U27" s="645"/>
      <c r="V27" s="645"/>
      <c r="W27" s="645"/>
      <c r="X27" s="645"/>
      <c r="Y27" s="645"/>
      <c r="Z27" s="568"/>
      <c r="AA27" s="569">
        <v>20</v>
      </c>
      <c r="AB27" s="290"/>
      <c r="AC27" s="290">
        <v>1</v>
      </c>
      <c r="AD27" s="290"/>
      <c r="AE27" s="508">
        <f>710*1.2</f>
        <v>852</v>
      </c>
      <c r="AF27" s="566">
        <f t="shared" si="4"/>
        <v>0</v>
      </c>
      <c r="AG27" s="567">
        <f t="shared" si="5"/>
        <v>17040</v>
      </c>
      <c r="AH27" s="156"/>
    </row>
    <row r="28" spans="1:34" x14ac:dyDescent="0.2">
      <c r="A28" s="642" t="s">
        <v>157</v>
      </c>
      <c r="B28" s="155" t="s">
        <v>499</v>
      </c>
      <c r="C28" s="644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6"/>
      <c r="O28" s="645"/>
      <c r="P28" s="645"/>
      <c r="Q28" s="645"/>
      <c r="R28" s="645"/>
      <c r="S28" s="645"/>
      <c r="T28" s="645"/>
      <c r="U28" s="645"/>
      <c r="V28" s="645">
        <v>1</v>
      </c>
      <c r="W28" s="645"/>
      <c r="X28" s="645"/>
      <c r="Y28" s="645"/>
      <c r="Z28" s="568"/>
      <c r="AA28" s="569">
        <v>4</v>
      </c>
      <c r="AB28" s="290"/>
      <c r="AC28" s="290">
        <v>1</v>
      </c>
      <c r="AD28" s="290"/>
      <c r="AE28" s="508">
        <f>790*1.2</f>
        <v>948</v>
      </c>
      <c r="AF28" s="566">
        <f t="shared" si="4"/>
        <v>0</v>
      </c>
      <c r="AG28" s="567">
        <f t="shared" si="5"/>
        <v>3792</v>
      </c>
      <c r="AH28" s="156"/>
    </row>
    <row r="29" spans="1:34" x14ac:dyDescent="0.2">
      <c r="A29" s="642"/>
      <c r="B29" s="155" t="s">
        <v>501</v>
      </c>
      <c r="C29" s="644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6"/>
      <c r="O29" s="645"/>
      <c r="P29" s="645"/>
      <c r="Q29" s="645"/>
      <c r="R29" s="645"/>
      <c r="S29" s="645"/>
      <c r="T29" s="645"/>
      <c r="U29" s="645"/>
      <c r="V29" s="645">
        <v>1</v>
      </c>
      <c r="W29" s="645"/>
      <c r="X29" s="645"/>
      <c r="Y29" s="645"/>
      <c r="Z29" s="568"/>
      <c r="AA29" s="569">
        <v>1</v>
      </c>
      <c r="AB29" s="290"/>
      <c r="AC29" s="290">
        <v>1</v>
      </c>
      <c r="AD29" s="290"/>
      <c r="AE29" s="508">
        <f>1200*1.2</f>
        <v>1440</v>
      </c>
      <c r="AF29" s="566">
        <f t="shared" si="4"/>
        <v>0</v>
      </c>
      <c r="AG29" s="567">
        <f t="shared" si="5"/>
        <v>1440</v>
      </c>
      <c r="AH29" s="156"/>
    </row>
    <row r="30" spans="1:34" x14ac:dyDescent="0.2">
      <c r="A30" s="642"/>
      <c r="B30" s="155"/>
      <c r="C30" s="277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9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568"/>
      <c r="AA30" s="569"/>
      <c r="AB30" s="290"/>
      <c r="AC30" s="290"/>
      <c r="AD30" s="290"/>
      <c r="AE30" s="508"/>
      <c r="AF30" s="566"/>
      <c r="AG30" s="567"/>
      <c r="AH30" s="156"/>
    </row>
    <row r="31" spans="1:34" x14ac:dyDescent="0.2">
      <c r="A31" s="294" t="s">
        <v>478</v>
      </c>
      <c r="B31" s="155"/>
      <c r="C31" s="27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9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568"/>
      <c r="AA31" s="569"/>
      <c r="AB31" s="290"/>
      <c r="AC31" s="290"/>
      <c r="AD31" s="290"/>
      <c r="AE31" s="508"/>
      <c r="AF31" s="566"/>
      <c r="AG31" s="567"/>
      <c r="AH31" s="156"/>
    </row>
    <row r="32" spans="1:34" x14ac:dyDescent="0.2">
      <c r="A32" s="642" t="s">
        <v>321</v>
      </c>
      <c r="B32" s="155" t="s">
        <v>491</v>
      </c>
      <c r="C32" s="644"/>
      <c r="D32" s="645">
        <v>1</v>
      </c>
      <c r="E32" s="645">
        <v>1</v>
      </c>
      <c r="F32" s="645"/>
      <c r="G32" s="645"/>
      <c r="H32" s="645"/>
      <c r="I32" s="645"/>
      <c r="J32" s="645"/>
      <c r="K32" s="645"/>
      <c r="L32" s="645"/>
      <c r="M32" s="645"/>
      <c r="N32" s="646"/>
      <c r="O32" s="645"/>
      <c r="P32" s="645"/>
      <c r="Q32" s="645"/>
      <c r="R32" s="645"/>
      <c r="S32" s="645"/>
      <c r="T32" s="645"/>
      <c r="U32" s="645"/>
      <c r="V32" s="645"/>
      <c r="W32" s="645"/>
      <c r="X32" s="645"/>
      <c r="Y32" s="645"/>
      <c r="Z32" s="568"/>
      <c r="AA32" s="569">
        <v>26</v>
      </c>
      <c r="AB32" s="290"/>
      <c r="AC32" s="290">
        <v>2</v>
      </c>
      <c r="AD32" s="290"/>
      <c r="AE32" s="508">
        <f>740*1.2</f>
        <v>888</v>
      </c>
      <c r="AF32" s="566">
        <f t="shared" si="4"/>
        <v>0</v>
      </c>
      <c r="AG32" s="567">
        <f t="shared" si="5"/>
        <v>46176</v>
      </c>
      <c r="AH32" s="156"/>
    </row>
    <row r="33" spans="1:35" x14ac:dyDescent="0.2">
      <c r="A33" s="642"/>
      <c r="B33" s="155" t="s">
        <v>492</v>
      </c>
      <c r="C33" s="644"/>
      <c r="D33" s="645"/>
      <c r="E33" s="645">
        <v>1</v>
      </c>
      <c r="F33" s="645">
        <v>1</v>
      </c>
      <c r="G33" s="645"/>
      <c r="H33" s="645"/>
      <c r="I33" s="645"/>
      <c r="J33" s="645"/>
      <c r="K33" s="645"/>
      <c r="L33" s="645"/>
      <c r="M33" s="645"/>
      <c r="N33" s="646"/>
      <c r="O33" s="645"/>
      <c r="P33" s="645"/>
      <c r="Q33" s="645"/>
      <c r="R33" s="645"/>
      <c r="S33" s="645"/>
      <c r="T33" s="645"/>
      <c r="U33" s="645"/>
      <c r="V33" s="645"/>
      <c r="W33" s="645"/>
      <c r="X33" s="645"/>
      <c r="Y33" s="645"/>
      <c r="Z33" s="568"/>
      <c r="AA33" s="569">
        <v>30</v>
      </c>
      <c r="AB33" s="290"/>
      <c r="AC33" s="290">
        <v>1</v>
      </c>
      <c r="AD33" s="290"/>
      <c r="AE33" s="508">
        <f>910*1.2</f>
        <v>1092</v>
      </c>
      <c r="AF33" s="566">
        <f t="shared" si="4"/>
        <v>0</v>
      </c>
      <c r="AG33" s="567">
        <f t="shared" si="5"/>
        <v>32760</v>
      </c>
      <c r="AH33" s="156"/>
    </row>
    <row r="34" spans="1:35" x14ac:dyDescent="0.2">
      <c r="A34" s="642"/>
      <c r="B34" s="155" t="s">
        <v>493</v>
      </c>
      <c r="C34" s="644"/>
      <c r="D34" s="645"/>
      <c r="E34" s="645"/>
      <c r="F34" s="645">
        <v>1</v>
      </c>
      <c r="G34" s="645">
        <v>1</v>
      </c>
      <c r="H34" s="645"/>
      <c r="I34" s="645"/>
      <c r="J34" s="645"/>
      <c r="K34" s="645"/>
      <c r="L34" s="645"/>
      <c r="M34" s="645"/>
      <c r="N34" s="646"/>
      <c r="O34" s="645"/>
      <c r="P34" s="645"/>
      <c r="Q34" s="645"/>
      <c r="R34" s="645"/>
      <c r="S34" s="645"/>
      <c r="T34" s="645"/>
      <c r="U34" s="645"/>
      <c r="V34" s="645"/>
      <c r="W34" s="645"/>
      <c r="X34" s="645"/>
      <c r="Y34" s="645"/>
      <c r="Z34" s="568"/>
      <c r="AA34" s="569">
        <v>20</v>
      </c>
      <c r="AB34" s="290"/>
      <c r="AC34" s="290">
        <v>1</v>
      </c>
      <c r="AD34" s="290"/>
      <c r="AE34" s="508">
        <f>107*1.2</f>
        <v>128.4</v>
      </c>
      <c r="AF34" s="566">
        <f t="shared" si="4"/>
        <v>0</v>
      </c>
      <c r="AG34" s="567">
        <f t="shared" si="5"/>
        <v>2568</v>
      </c>
      <c r="AH34" s="156"/>
    </row>
    <row r="35" spans="1:35" x14ac:dyDescent="0.2">
      <c r="A35" s="294"/>
      <c r="B35" s="155" t="s">
        <v>494</v>
      </c>
      <c r="C35" s="644"/>
      <c r="D35" s="645"/>
      <c r="E35" s="645"/>
      <c r="F35" s="645"/>
      <c r="G35" s="645"/>
      <c r="H35" s="645">
        <v>1</v>
      </c>
      <c r="I35" s="645"/>
      <c r="J35" s="645"/>
      <c r="K35" s="645"/>
      <c r="L35" s="645"/>
      <c r="M35" s="645"/>
      <c r="N35" s="646"/>
      <c r="O35" s="645"/>
      <c r="P35" s="645"/>
      <c r="Q35" s="645"/>
      <c r="R35" s="645"/>
      <c r="S35" s="645"/>
      <c r="T35" s="645"/>
      <c r="U35" s="645"/>
      <c r="V35" s="645"/>
      <c r="W35" s="645"/>
      <c r="X35" s="645"/>
      <c r="Y35" s="645"/>
      <c r="Z35" s="568"/>
      <c r="AA35" s="569">
        <v>4</v>
      </c>
      <c r="AB35" s="290"/>
      <c r="AC35" s="290">
        <v>1</v>
      </c>
      <c r="AD35" s="290"/>
      <c r="AE35" s="508">
        <f>600*1.2</f>
        <v>720</v>
      </c>
      <c r="AF35" s="566">
        <f t="shared" si="4"/>
        <v>0</v>
      </c>
      <c r="AG35" s="567">
        <f t="shared" si="5"/>
        <v>2880</v>
      </c>
      <c r="AH35" s="156"/>
    </row>
    <row r="36" spans="1:35" x14ac:dyDescent="0.2">
      <c r="A36" s="642" t="s">
        <v>155</v>
      </c>
      <c r="B36" s="155" t="s">
        <v>495</v>
      </c>
      <c r="C36" s="644"/>
      <c r="D36" s="645"/>
      <c r="E36" s="645"/>
      <c r="F36" s="645"/>
      <c r="G36" s="645"/>
      <c r="H36" s="645"/>
      <c r="I36" s="645">
        <v>1</v>
      </c>
      <c r="J36" s="645">
        <v>1</v>
      </c>
      <c r="K36" s="645">
        <v>1</v>
      </c>
      <c r="L36" s="645"/>
      <c r="M36" s="645"/>
      <c r="N36" s="646"/>
      <c r="O36" s="645"/>
      <c r="P36" s="645"/>
      <c r="Q36" s="645"/>
      <c r="R36" s="645"/>
      <c r="S36" s="645"/>
      <c r="T36" s="645"/>
      <c r="U36" s="645"/>
      <c r="V36" s="645"/>
      <c r="W36" s="645"/>
      <c r="X36" s="645"/>
      <c r="Y36" s="645"/>
      <c r="Z36" s="568"/>
      <c r="AA36" s="569">
        <v>25</v>
      </c>
      <c r="AB36" s="290"/>
      <c r="AC36" s="290">
        <v>4</v>
      </c>
      <c r="AD36" s="290"/>
      <c r="AE36" s="508">
        <f>650*1.2</f>
        <v>780</v>
      </c>
      <c r="AF36" s="566">
        <f t="shared" si="4"/>
        <v>0</v>
      </c>
      <c r="AG36" s="567">
        <f t="shared" si="5"/>
        <v>78000</v>
      </c>
      <c r="AH36" s="156"/>
    </row>
    <row r="37" spans="1:35" x14ac:dyDescent="0.2">
      <c r="A37" s="642"/>
      <c r="B37" s="155" t="s">
        <v>494</v>
      </c>
      <c r="C37" s="644"/>
      <c r="D37" s="645"/>
      <c r="E37" s="645"/>
      <c r="F37" s="645"/>
      <c r="G37" s="645"/>
      <c r="H37" s="645"/>
      <c r="I37" s="645"/>
      <c r="J37" s="645"/>
      <c r="K37" s="645">
        <v>1</v>
      </c>
      <c r="L37" s="645">
        <v>1</v>
      </c>
      <c r="M37" s="645"/>
      <c r="N37" s="646"/>
      <c r="O37" s="645"/>
      <c r="P37" s="645"/>
      <c r="Q37" s="645"/>
      <c r="R37" s="645"/>
      <c r="S37" s="645"/>
      <c r="T37" s="645"/>
      <c r="U37" s="645"/>
      <c r="V37" s="645"/>
      <c r="W37" s="645"/>
      <c r="X37" s="645"/>
      <c r="Y37" s="645"/>
      <c r="Z37" s="568"/>
      <c r="AA37" s="569">
        <v>20</v>
      </c>
      <c r="AB37" s="290"/>
      <c r="AC37" s="290">
        <v>1</v>
      </c>
      <c r="AD37" s="290"/>
      <c r="AE37" s="508">
        <f>600*1.2</f>
        <v>720</v>
      </c>
      <c r="AF37" s="566">
        <f t="shared" si="4"/>
        <v>0</v>
      </c>
      <c r="AG37" s="567">
        <f t="shared" si="5"/>
        <v>14400</v>
      </c>
      <c r="AH37" s="156"/>
    </row>
    <row r="38" spans="1:35" x14ac:dyDescent="0.2">
      <c r="A38" s="642"/>
      <c r="B38" s="155" t="s">
        <v>496</v>
      </c>
      <c r="C38" s="644"/>
      <c r="D38" s="645"/>
      <c r="E38" s="645"/>
      <c r="F38" s="645"/>
      <c r="G38" s="645"/>
      <c r="H38" s="645"/>
      <c r="I38" s="645"/>
      <c r="J38" s="645"/>
      <c r="K38" s="645"/>
      <c r="L38" s="645"/>
      <c r="M38" s="645">
        <v>1</v>
      </c>
      <c r="N38" s="646">
        <v>1</v>
      </c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568"/>
      <c r="AA38" s="569">
        <v>25</v>
      </c>
      <c r="AB38" s="290"/>
      <c r="AC38" s="290">
        <v>2</v>
      </c>
      <c r="AD38" s="290"/>
      <c r="AE38" s="508">
        <f>107*1.2</f>
        <v>128.4</v>
      </c>
      <c r="AF38" s="566">
        <f t="shared" si="4"/>
        <v>0</v>
      </c>
      <c r="AG38" s="567">
        <f t="shared" si="5"/>
        <v>6420</v>
      </c>
      <c r="AH38" s="156"/>
    </row>
    <row r="39" spans="1:35" x14ac:dyDescent="0.2">
      <c r="A39" s="642" t="s">
        <v>156</v>
      </c>
      <c r="B39" s="155" t="s">
        <v>497</v>
      </c>
      <c r="C39" s="644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6"/>
      <c r="O39" s="645"/>
      <c r="P39" s="645"/>
      <c r="Q39" s="645">
        <v>1</v>
      </c>
      <c r="R39" s="645">
        <v>1</v>
      </c>
      <c r="S39" s="645"/>
      <c r="T39" s="645"/>
      <c r="U39" s="645"/>
      <c r="V39" s="645"/>
      <c r="W39" s="645"/>
      <c r="X39" s="645"/>
      <c r="Y39" s="645"/>
      <c r="Z39" s="568"/>
      <c r="AA39" s="569">
        <v>20</v>
      </c>
      <c r="AB39" s="290"/>
      <c r="AC39" s="290">
        <v>1</v>
      </c>
      <c r="AD39" s="290"/>
      <c r="AE39" s="508">
        <f>570*1.2</f>
        <v>684</v>
      </c>
      <c r="AF39" s="566">
        <f t="shared" si="4"/>
        <v>0</v>
      </c>
      <c r="AG39" s="567">
        <f t="shared" si="5"/>
        <v>13680</v>
      </c>
      <c r="AH39" s="156"/>
    </row>
    <row r="40" spans="1:35" x14ac:dyDescent="0.2">
      <c r="A40" s="642"/>
      <c r="B40" s="155" t="s">
        <v>498</v>
      </c>
      <c r="C40" s="644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6"/>
      <c r="O40" s="645">
        <v>1</v>
      </c>
      <c r="P40" s="645">
        <v>1</v>
      </c>
      <c r="Q40" s="645"/>
      <c r="R40" s="645"/>
      <c r="S40" s="645"/>
      <c r="T40" s="645"/>
      <c r="U40" s="645"/>
      <c r="V40" s="645"/>
      <c r="W40" s="645"/>
      <c r="X40" s="645"/>
      <c r="Y40" s="645"/>
      <c r="Z40" s="568"/>
      <c r="AA40" s="569">
        <v>10</v>
      </c>
      <c r="AB40" s="290"/>
      <c r="AC40" s="290">
        <v>1</v>
      </c>
      <c r="AD40" s="290"/>
      <c r="AE40" s="508">
        <f>710*1.2</f>
        <v>852</v>
      </c>
      <c r="AF40" s="566">
        <f t="shared" si="4"/>
        <v>0</v>
      </c>
      <c r="AG40" s="567">
        <f t="shared" si="5"/>
        <v>8520</v>
      </c>
      <c r="AH40" s="156"/>
    </row>
    <row r="41" spans="1:35" x14ac:dyDescent="0.2">
      <c r="A41" s="642" t="s">
        <v>157</v>
      </c>
      <c r="B41" s="155" t="s">
        <v>499</v>
      </c>
      <c r="C41" s="644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6"/>
      <c r="O41" s="645"/>
      <c r="P41" s="645"/>
      <c r="Q41" s="645"/>
      <c r="R41" s="645"/>
      <c r="S41" s="645">
        <v>1</v>
      </c>
      <c r="T41" s="645"/>
      <c r="U41" s="645"/>
      <c r="V41" s="645"/>
      <c r="W41" s="645"/>
      <c r="X41" s="645"/>
      <c r="Y41" s="645"/>
      <c r="Z41" s="568"/>
      <c r="AA41" s="569">
        <v>3</v>
      </c>
      <c r="AB41" s="290"/>
      <c r="AC41" s="290">
        <v>1</v>
      </c>
      <c r="AD41" s="290"/>
      <c r="AE41" s="508">
        <f>790*1.2</f>
        <v>948</v>
      </c>
      <c r="AF41" s="566">
        <f t="shared" si="4"/>
        <v>0</v>
      </c>
      <c r="AG41" s="567">
        <f t="shared" si="5"/>
        <v>2844</v>
      </c>
      <c r="AH41" s="156"/>
    </row>
    <row r="42" spans="1:35" x14ac:dyDescent="0.2">
      <c r="A42" s="294"/>
      <c r="B42" s="155"/>
      <c r="C42" s="277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9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568"/>
      <c r="AA42" s="569"/>
      <c r="AB42" s="290"/>
      <c r="AC42" s="290"/>
      <c r="AD42" s="290"/>
      <c r="AE42" s="508"/>
      <c r="AF42" s="566"/>
      <c r="AG42" s="567"/>
      <c r="AH42" s="156"/>
    </row>
    <row r="43" spans="1:35" x14ac:dyDescent="0.2">
      <c r="A43" s="294" t="s">
        <v>484</v>
      </c>
      <c r="B43" s="155"/>
      <c r="C43" s="277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9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568"/>
      <c r="AA43" s="569"/>
      <c r="AB43" s="290"/>
      <c r="AC43" s="290"/>
      <c r="AD43" s="290"/>
      <c r="AE43" s="508"/>
      <c r="AF43" s="566"/>
      <c r="AG43" s="567"/>
      <c r="AH43" s="156"/>
    </row>
    <row r="44" spans="1:35" x14ac:dyDescent="0.2">
      <c r="A44" s="642" t="s">
        <v>321</v>
      </c>
      <c r="B44" s="155" t="s">
        <v>491</v>
      </c>
      <c r="C44" s="644"/>
      <c r="D44" s="645">
        <v>1</v>
      </c>
      <c r="E44" s="645">
        <v>1</v>
      </c>
      <c r="F44" s="645">
        <v>1</v>
      </c>
      <c r="G44" s="645">
        <v>1</v>
      </c>
      <c r="H44" s="645"/>
      <c r="I44" s="645"/>
      <c r="J44" s="645"/>
      <c r="K44" s="645"/>
      <c r="L44" s="645"/>
      <c r="M44" s="645"/>
      <c r="N44" s="646"/>
      <c r="O44" s="645"/>
      <c r="P44" s="645"/>
      <c r="Q44" s="645"/>
      <c r="R44" s="645"/>
      <c r="S44" s="645"/>
      <c r="T44" s="645"/>
      <c r="U44" s="645"/>
      <c r="V44" s="645"/>
      <c r="W44" s="645"/>
      <c r="X44" s="645"/>
      <c r="Y44" s="645"/>
      <c r="Z44" s="568"/>
      <c r="AA44" s="569">
        <v>29</v>
      </c>
      <c r="AB44" s="290"/>
      <c r="AC44" s="290">
        <v>5</v>
      </c>
      <c r="AD44" s="290"/>
      <c r="AE44" s="508">
        <f>740*1.2</f>
        <v>888</v>
      </c>
      <c r="AF44" s="566">
        <f t="shared" si="4"/>
        <v>0</v>
      </c>
      <c r="AG44" s="567">
        <f t="shared" si="5"/>
        <v>128760</v>
      </c>
      <c r="AH44" s="156"/>
    </row>
    <row r="45" spans="1:35" x14ac:dyDescent="0.2">
      <c r="A45" s="642"/>
      <c r="B45" s="155" t="s">
        <v>492</v>
      </c>
      <c r="C45" s="644"/>
      <c r="D45" s="645"/>
      <c r="E45" s="645"/>
      <c r="F45" s="645">
        <v>1</v>
      </c>
      <c r="G45" s="645">
        <v>1</v>
      </c>
      <c r="H45" s="645">
        <v>1</v>
      </c>
      <c r="I45" s="645">
        <v>1</v>
      </c>
      <c r="J45" s="645"/>
      <c r="K45" s="645"/>
      <c r="L45" s="645"/>
      <c r="M45" s="645"/>
      <c r="N45" s="646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568"/>
      <c r="AA45" s="569">
        <v>25</v>
      </c>
      <c r="AB45" s="290"/>
      <c r="AC45" s="290">
        <v>2</v>
      </c>
      <c r="AD45" s="290"/>
      <c r="AE45" s="508">
        <f>910*1.2</f>
        <v>1092</v>
      </c>
      <c r="AF45" s="566">
        <f t="shared" si="4"/>
        <v>0</v>
      </c>
      <c r="AG45" s="567">
        <f t="shared" si="5"/>
        <v>54600</v>
      </c>
      <c r="AH45" s="156"/>
    </row>
    <row r="46" spans="1:35" x14ac:dyDescent="0.2">
      <c r="A46" s="642"/>
      <c r="B46" s="155" t="s">
        <v>493</v>
      </c>
      <c r="C46" s="644"/>
      <c r="D46" s="645"/>
      <c r="E46" s="645"/>
      <c r="F46" s="645"/>
      <c r="G46" s="645"/>
      <c r="H46" s="645"/>
      <c r="I46" s="645">
        <v>1</v>
      </c>
      <c r="J46" s="645">
        <v>1</v>
      </c>
      <c r="K46" s="645"/>
      <c r="L46" s="645"/>
      <c r="M46" s="645"/>
      <c r="N46" s="646"/>
      <c r="O46" s="645"/>
      <c r="P46" s="645"/>
      <c r="Q46" s="645"/>
      <c r="R46" s="645"/>
      <c r="S46" s="645"/>
      <c r="T46" s="645"/>
      <c r="U46" s="645"/>
      <c r="V46" s="645"/>
      <c r="W46" s="645"/>
      <c r="X46" s="645"/>
      <c r="Y46" s="645"/>
      <c r="Z46" s="568"/>
      <c r="AA46" s="569">
        <v>25</v>
      </c>
      <c r="AB46" s="290"/>
      <c r="AC46" s="290">
        <v>2</v>
      </c>
      <c r="AD46" s="290"/>
      <c r="AE46" s="508">
        <f>107*1.2</f>
        <v>128.4</v>
      </c>
      <c r="AF46" s="566">
        <f t="shared" si="4"/>
        <v>0</v>
      </c>
      <c r="AG46" s="567">
        <f t="shared" si="5"/>
        <v>6420</v>
      </c>
      <c r="AH46" s="156"/>
    </row>
    <row r="47" spans="1:35" x14ac:dyDescent="0.2">
      <c r="A47" s="642"/>
      <c r="B47" s="155" t="s">
        <v>494</v>
      </c>
      <c r="C47" s="644"/>
      <c r="D47" s="645"/>
      <c r="E47" s="645"/>
      <c r="F47" s="645"/>
      <c r="G47" s="645"/>
      <c r="H47" s="645"/>
      <c r="I47" s="645"/>
      <c r="J47" s="645"/>
      <c r="K47" s="645">
        <v>1</v>
      </c>
      <c r="L47" s="645"/>
      <c r="M47" s="645"/>
      <c r="N47" s="646"/>
      <c r="O47" s="645"/>
      <c r="P47" s="645"/>
      <c r="Q47" s="645"/>
      <c r="R47" s="645"/>
      <c r="S47" s="645"/>
      <c r="T47" s="645"/>
      <c r="U47" s="645"/>
      <c r="V47" s="645"/>
      <c r="W47" s="645"/>
      <c r="X47" s="645"/>
      <c r="Y47" s="645"/>
      <c r="Z47" s="568"/>
      <c r="AA47" s="569">
        <v>12</v>
      </c>
      <c r="AB47" s="290"/>
      <c r="AC47" s="290">
        <v>1</v>
      </c>
      <c r="AD47" s="290"/>
      <c r="AE47" s="508">
        <f>600*1.2</f>
        <v>720</v>
      </c>
      <c r="AF47" s="566">
        <f t="shared" si="4"/>
        <v>0</v>
      </c>
      <c r="AG47" s="567">
        <f t="shared" si="5"/>
        <v>8640</v>
      </c>
      <c r="AH47" s="156"/>
      <c r="AI47" s="156"/>
    </row>
    <row r="48" spans="1:35" x14ac:dyDescent="0.2">
      <c r="A48" s="642" t="s">
        <v>155</v>
      </c>
      <c r="B48" s="155" t="s">
        <v>495</v>
      </c>
      <c r="C48" s="644"/>
      <c r="D48" s="645"/>
      <c r="E48" s="645"/>
      <c r="F48" s="645"/>
      <c r="G48" s="645"/>
      <c r="H48" s="645"/>
      <c r="I48" s="645"/>
      <c r="J48" s="645"/>
      <c r="K48" s="645"/>
      <c r="L48" s="645">
        <v>1</v>
      </c>
      <c r="M48" s="645">
        <v>1</v>
      </c>
      <c r="N48" s="646">
        <v>1</v>
      </c>
      <c r="O48" s="645">
        <v>1</v>
      </c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568"/>
      <c r="AA48" s="569">
        <v>50</v>
      </c>
      <c r="AB48" s="290"/>
      <c r="AC48" s="290">
        <v>5</v>
      </c>
      <c r="AD48" s="290"/>
      <c r="AE48" s="508">
        <f>650*1.2</f>
        <v>780</v>
      </c>
      <c r="AF48" s="566">
        <f t="shared" si="4"/>
        <v>0</v>
      </c>
      <c r="AG48" s="567">
        <f t="shared" si="5"/>
        <v>195000</v>
      </c>
      <c r="AH48" s="156"/>
    </row>
    <row r="49" spans="1:34" x14ac:dyDescent="0.2">
      <c r="A49" s="642"/>
      <c r="B49" s="155" t="s">
        <v>494</v>
      </c>
      <c r="C49" s="644"/>
      <c r="D49" s="645"/>
      <c r="E49" s="645"/>
      <c r="F49" s="645"/>
      <c r="G49" s="645"/>
      <c r="H49" s="645"/>
      <c r="I49" s="645"/>
      <c r="J49" s="645"/>
      <c r="K49" s="645"/>
      <c r="L49" s="645"/>
      <c r="M49" s="645"/>
      <c r="N49" s="646"/>
      <c r="O49" s="645">
        <v>1</v>
      </c>
      <c r="P49" s="645">
        <v>1</v>
      </c>
      <c r="Q49" s="645">
        <v>1</v>
      </c>
      <c r="R49" s="645"/>
      <c r="S49" s="645"/>
      <c r="T49" s="645"/>
      <c r="U49" s="645"/>
      <c r="V49" s="645"/>
      <c r="W49" s="645"/>
      <c r="X49" s="645"/>
      <c r="Y49" s="645"/>
      <c r="Z49" s="568"/>
      <c r="AA49" s="569">
        <v>65</v>
      </c>
      <c r="AB49" s="290"/>
      <c r="AC49" s="290">
        <v>1</v>
      </c>
      <c r="AD49" s="290"/>
      <c r="AE49" s="508">
        <f>600*1.2</f>
        <v>720</v>
      </c>
      <c r="AF49" s="566">
        <f t="shared" si="4"/>
        <v>0</v>
      </c>
      <c r="AG49" s="567">
        <f t="shared" si="5"/>
        <v>46800</v>
      </c>
      <c r="AH49" s="156"/>
    </row>
    <row r="50" spans="1:34" x14ac:dyDescent="0.2">
      <c r="A50" s="642"/>
      <c r="B50" s="155" t="s">
        <v>496</v>
      </c>
      <c r="C50" s="644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6"/>
      <c r="O50" s="645"/>
      <c r="P50" s="645"/>
      <c r="Q50" s="645">
        <v>1</v>
      </c>
      <c r="R50" s="645">
        <v>1</v>
      </c>
      <c r="S50" s="645">
        <v>1</v>
      </c>
      <c r="T50" s="645"/>
      <c r="U50" s="645"/>
      <c r="V50" s="645"/>
      <c r="W50" s="645"/>
      <c r="X50" s="645"/>
      <c r="Y50" s="645"/>
      <c r="Z50" s="568"/>
      <c r="AA50" s="569">
        <v>19</v>
      </c>
      <c r="AB50" s="290"/>
      <c r="AC50" s="290">
        <v>5</v>
      </c>
      <c r="AD50" s="290"/>
      <c r="AE50" s="508">
        <f>107*1.2</f>
        <v>128.4</v>
      </c>
      <c r="AF50" s="566">
        <f t="shared" si="4"/>
        <v>0</v>
      </c>
      <c r="AG50" s="567">
        <f t="shared" si="5"/>
        <v>12198</v>
      </c>
      <c r="AH50" s="156"/>
    </row>
    <row r="51" spans="1:34" x14ac:dyDescent="0.2">
      <c r="A51" s="642"/>
      <c r="B51" s="155" t="s">
        <v>501</v>
      </c>
      <c r="C51" s="644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6"/>
      <c r="O51" s="645"/>
      <c r="P51" s="645"/>
      <c r="Q51" s="645"/>
      <c r="R51" s="645"/>
      <c r="S51" s="645">
        <v>1</v>
      </c>
      <c r="T51" s="645"/>
      <c r="U51" s="645"/>
      <c r="V51" s="645"/>
      <c r="W51" s="645"/>
      <c r="X51" s="645"/>
      <c r="Y51" s="645"/>
      <c r="Z51" s="568"/>
      <c r="AA51" s="569">
        <v>1</v>
      </c>
      <c r="AB51" s="290"/>
      <c r="AC51" s="290">
        <v>1</v>
      </c>
      <c r="AD51" s="290"/>
      <c r="AE51" s="508">
        <f>1200*1.2</f>
        <v>1440</v>
      </c>
      <c r="AF51" s="566">
        <f t="shared" si="4"/>
        <v>0</v>
      </c>
      <c r="AG51" s="567">
        <f t="shared" si="5"/>
        <v>1440</v>
      </c>
      <c r="AH51" s="156"/>
    </row>
    <row r="52" spans="1:34" ht="13.35" customHeight="1" x14ac:dyDescent="0.2">
      <c r="A52" s="642" t="s">
        <v>156</v>
      </c>
      <c r="B52" s="155" t="s">
        <v>497</v>
      </c>
      <c r="C52" s="644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6"/>
      <c r="O52" s="645"/>
      <c r="P52" s="645"/>
      <c r="Q52" s="645"/>
      <c r="R52" s="645"/>
      <c r="S52" s="645"/>
      <c r="T52" s="645"/>
      <c r="U52" s="645">
        <v>1</v>
      </c>
      <c r="V52" s="645">
        <v>1</v>
      </c>
      <c r="W52" s="645">
        <v>1</v>
      </c>
      <c r="X52" s="645"/>
      <c r="Y52" s="645"/>
      <c r="Z52" s="568"/>
      <c r="AA52" s="569">
        <v>42.5</v>
      </c>
      <c r="AB52" s="290"/>
      <c r="AC52" s="290">
        <v>2</v>
      </c>
      <c r="AD52" s="290"/>
      <c r="AE52" s="508">
        <f>570*1.2</f>
        <v>684</v>
      </c>
      <c r="AF52" s="566">
        <f t="shared" si="4"/>
        <v>0</v>
      </c>
      <c r="AG52" s="567">
        <f t="shared" si="5"/>
        <v>58140</v>
      </c>
      <c r="AH52" s="156"/>
    </row>
    <row r="53" spans="1:34" x14ac:dyDescent="0.2">
      <c r="A53" s="294"/>
      <c r="B53" s="155" t="s">
        <v>498</v>
      </c>
      <c r="C53" s="644"/>
      <c r="D53" s="645"/>
      <c r="E53" s="645"/>
      <c r="F53" s="645"/>
      <c r="G53" s="645"/>
      <c r="H53" s="645"/>
      <c r="I53" s="645"/>
      <c r="J53" s="645"/>
      <c r="K53" s="645"/>
      <c r="L53" s="645"/>
      <c r="M53" s="645"/>
      <c r="N53" s="646"/>
      <c r="O53" s="645"/>
      <c r="P53" s="645"/>
      <c r="Q53" s="645"/>
      <c r="R53" s="645"/>
      <c r="S53" s="645"/>
      <c r="T53" s="645">
        <v>1</v>
      </c>
      <c r="U53" s="645">
        <v>1</v>
      </c>
      <c r="V53" s="645"/>
      <c r="W53" s="645"/>
      <c r="X53" s="645"/>
      <c r="Y53" s="645"/>
      <c r="Z53" s="568"/>
      <c r="AA53" s="569">
        <v>25</v>
      </c>
      <c r="AB53" s="290"/>
      <c r="AC53" s="290">
        <v>1</v>
      </c>
      <c r="AD53" s="290"/>
      <c r="AE53" s="508">
        <f>710*1.2</f>
        <v>852</v>
      </c>
      <c r="AF53" s="566">
        <f t="shared" si="4"/>
        <v>0</v>
      </c>
      <c r="AG53" s="567">
        <f t="shared" si="5"/>
        <v>21300</v>
      </c>
      <c r="AH53" s="156"/>
    </row>
    <row r="54" spans="1:34" x14ac:dyDescent="0.2">
      <c r="A54" s="642" t="s">
        <v>157</v>
      </c>
      <c r="B54" s="155" t="s">
        <v>499</v>
      </c>
      <c r="C54" s="644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6"/>
      <c r="O54" s="645"/>
      <c r="P54" s="645"/>
      <c r="Q54" s="645"/>
      <c r="R54" s="645"/>
      <c r="S54" s="645"/>
      <c r="T54" s="645"/>
      <c r="U54" s="645"/>
      <c r="V54" s="645"/>
      <c r="W54" s="645"/>
      <c r="X54" s="645">
        <v>1</v>
      </c>
      <c r="Y54" s="645">
        <v>1</v>
      </c>
      <c r="Z54" s="568"/>
      <c r="AA54" s="569">
        <v>5</v>
      </c>
      <c r="AB54" s="290"/>
      <c r="AC54" s="290">
        <v>1</v>
      </c>
      <c r="AD54" s="290"/>
      <c r="AE54" s="508">
        <f>790*1.2</f>
        <v>948</v>
      </c>
      <c r="AF54" s="566">
        <f t="shared" si="4"/>
        <v>0</v>
      </c>
      <c r="AG54" s="567">
        <f t="shared" si="5"/>
        <v>4740</v>
      </c>
      <c r="AH54" s="156"/>
    </row>
    <row r="55" spans="1:34" x14ac:dyDescent="0.2">
      <c r="A55" s="642"/>
      <c r="B55" s="155" t="s">
        <v>500</v>
      </c>
      <c r="C55" s="644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6"/>
      <c r="O55" s="645"/>
      <c r="P55" s="645"/>
      <c r="Q55" s="645"/>
      <c r="R55" s="645"/>
      <c r="S55" s="645"/>
      <c r="T55" s="645"/>
      <c r="U55" s="645"/>
      <c r="V55" s="645"/>
      <c r="W55" s="645"/>
      <c r="X55" s="645"/>
      <c r="Y55" s="645">
        <v>1</v>
      </c>
      <c r="Z55" s="568"/>
      <c r="AA55" s="569">
        <v>1</v>
      </c>
      <c r="AB55" s="290"/>
      <c r="AC55" s="290">
        <v>1</v>
      </c>
      <c r="AD55" s="290"/>
      <c r="AE55" s="508">
        <f>900*1.2</f>
        <v>1080</v>
      </c>
      <c r="AF55" s="566">
        <f t="shared" si="4"/>
        <v>0</v>
      </c>
      <c r="AG55" s="567">
        <f t="shared" si="5"/>
        <v>1080</v>
      </c>
      <c r="AH55" s="156"/>
    </row>
    <row r="56" spans="1:34" x14ac:dyDescent="0.2">
      <c r="A56" s="642"/>
      <c r="B56" s="155" t="s">
        <v>501</v>
      </c>
      <c r="C56" s="644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6"/>
      <c r="O56" s="645"/>
      <c r="P56" s="645"/>
      <c r="Q56" s="645"/>
      <c r="R56" s="645"/>
      <c r="S56" s="645"/>
      <c r="T56" s="645"/>
      <c r="U56" s="645"/>
      <c r="V56" s="645"/>
      <c r="W56" s="645"/>
      <c r="X56" s="645"/>
      <c r="Y56" s="645">
        <v>1</v>
      </c>
      <c r="Z56" s="568"/>
      <c r="AA56" s="569">
        <v>1</v>
      </c>
      <c r="AB56" s="290"/>
      <c r="AC56" s="290">
        <v>1</v>
      </c>
      <c r="AD56" s="290"/>
      <c r="AE56" s="508">
        <f>1200*1.2</f>
        <v>1440</v>
      </c>
      <c r="AF56" s="566">
        <f t="shared" si="4"/>
        <v>0</v>
      </c>
      <c r="AG56" s="567">
        <f t="shared" si="5"/>
        <v>1440</v>
      </c>
      <c r="AH56" s="156"/>
    </row>
    <row r="57" spans="1:34" x14ac:dyDescent="0.2">
      <c r="A57" s="642"/>
      <c r="B57" s="155"/>
      <c r="C57" s="277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9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568"/>
      <c r="AA57" s="569"/>
      <c r="AB57" s="290"/>
      <c r="AC57" s="290"/>
      <c r="AD57" s="290"/>
      <c r="AE57" s="508"/>
      <c r="AF57" s="566"/>
      <c r="AG57" s="567"/>
      <c r="AH57" s="156"/>
    </row>
    <row r="58" spans="1:34" x14ac:dyDescent="0.2">
      <c r="A58" s="294" t="s">
        <v>485</v>
      </c>
      <c r="B58" s="155"/>
      <c r="C58" s="277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9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568"/>
      <c r="AA58" s="569"/>
      <c r="AB58" s="290"/>
      <c r="AC58" s="290"/>
      <c r="AD58" s="290"/>
      <c r="AE58" s="508"/>
      <c r="AF58" s="566"/>
      <c r="AG58" s="567"/>
      <c r="AH58" s="156"/>
    </row>
    <row r="59" spans="1:34" x14ac:dyDescent="0.2">
      <c r="A59" s="642" t="s">
        <v>321</v>
      </c>
      <c r="B59" s="155" t="s">
        <v>491</v>
      </c>
      <c r="C59" s="644"/>
      <c r="D59" s="645">
        <v>1</v>
      </c>
      <c r="E59" s="645">
        <v>1</v>
      </c>
      <c r="F59" s="645"/>
      <c r="G59" s="645"/>
      <c r="H59" s="645"/>
      <c r="I59" s="645"/>
      <c r="J59" s="645"/>
      <c r="K59" s="645"/>
      <c r="L59" s="645"/>
      <c r="M59" s="645"/>
      <c r="N59" s="646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568"/>
      <c r="AA59" s="569">
        <v>30</v>
      </c>
      <c r="AB59" s="290"/>
      <c r="AC59" s="290">
        <v>3</v>
      </c>
      <c r="AD59" s="290"/>
      <c r="AE59" s="508">
        <f>740*1.2</f>
        <v>888</v>
      </c>
      <c r="AF59" s="566">
        <f t="shared" si="4"/>
        <v>0</v>
      </c>
      <c r="AG59" s="567">
        <f t="shared" si="5"/>
        <v>79920</v>
      </c>
      <c r="AH59" s="156"/>
    </row>
    <row r="60" spans="1:34" x14ac:dyDescent="0.2">
      <c r="A60" s="294"/>
      <c r="B60" s="155" t="s">
        <v>492</v>
      </c>
      <c r="C60" s="644"/>
      <c r="D60" s="645"/>
      <c r="E60" s="645"/>
      <c r="F60" s="645">
        <v>1</v>
      </c>
      <c r="G60" s="645">
        <v>1</v>
      </c>
      <c r="H60" s="645"/>
      <c r="I60" s="645"/>
      <c r="J60" s="645"/>
      <c r="K60" s="645"/>
      <c r="L60" s="645"/>
      <c r="M60" s="645"/>
      <c r="N60" s="646"/>
      <c r="O60" s="645"/>
      <c r="P60" s="645"/>
      <c r="Q60" s="645"/>
      <c r="R60" s="645"/>
      <c r="S60" s="645"/>
      <c r="T60" s="645"/>
      <c r="U60" s="645"/>
      <c r="V60" s="645"/>
      <c r="W60" s="645"/>
      <c r="X60" s="645"/>
      <c r="Y60" s="645"/>
      <c r="Z60" s="568"/>
      <c r="AA60" s="569">
        <v>22.5</v>
      </c>
      <c r="AB60" s="290"/>
      <c r="AC60" s="290">
        <v>2</v>
      </c>
      <c r="AD60" s="290"/>
      <c r="AE60" s="508">
        <f>910*1.2</f>
        <v>1092</v>
      </c>
      <c r="AF60" s="566">
        <f t="shared" si="4"/>
        <v>0</v>
      </c>
      <c r="AG60" s="567">
        <f t="shared" si="5"/>
        <v>49140</v>
      </c>
      <c r="AH60" s="156"/>
    </row>
    <row r="61" spans="1:34" x14ac:dyDescent="0.2">
      <c r="A61" s="642"/>
      <c r="B61" s="155" t="s">
        <v>493</v>
      </c>
      <c r="C61" s="644"/>
      <c r="D61" s="645"/>
      <c r="E61" s="645"/>
      <c r="F61" s="645"/>
      <c r="G61" s="645"/>
      <c r="H61" s="645">
        <v>1</v>
      </c>
      <c r="I61" s="645">
        <v>1</v>
      </c>
      <c r="J61" s="645"/>
      <c r="K61" s="645"/>
      <c r="L61" s="645"/>
      <c r="M61" s="645"/>
      <c r="N61" s="646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568"/>
      <c r="AA61" s="569">
        <v>35</v>
      </c>
      <c r="AB61" s="290"/>
      <c r="AC61" s="290">
        <v>1</v>
      </c>
      <c r="AD61" s="290"/>
      <c r="AE61" s="508">
        <f>107*1.2</f>
        <v>128.4</v>
      </c>
      <c r="AF61" s="566">
        <f t="shared" si="4"/>
        <v>0</v>
      </c>
      <c r="AG61" s="567">
        <f t="shared" si="5"/>
        <v>4494</v>
      </c>
      <c r="AH61" s="156"/>
    </row>
    <row r="62" spans="1:34" x14ac:dyDescent="0.2">
      <c r="A62" s="642"/>
      <c r="B62" s="155" t="s">
        <v>494</v>
      </c>
      <c r="C62" s="644"/>
      <c r="D62" s="645"/>
      <c r="E62" s="645"/>
      <c r="F62" s="645"/>
      <c r="G62" s="645"/>
      <c r="H62" s="645"/>
      <c r="I62" s="645"/>
      <c r="J62" s="645">
        <v>1</v>
      </c>
      <c r="K62" s="645"/>
      <c r="L62" s="645"/>
      <c r="M62" s="645"/>
      <c r="N62" s="646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568"/>
      <c r="AA62" s="569">
        <v>10</v>
      </c>
      <c r="AB62" s="290"/>
      <c r="AC62" s="290">
        <v>1</v>
      </c>
      <c r="AD62" s="290"/>
      <c r="AE62" s="508">
        <f>600*1.2</f>
        <v>720</v>
      </c>
      <c r="AF62" s="566">
        <f t="shared" si="4"/>
        <v>0</v>
      </c>
      <c r="AG62" s="567">
        <f t="shared" si="5"/>
        <v>7200</v>
      </c>
      <c r="AH62" s="156"/>
    </row>
    <row r="63" spans="1:34" x14ac:dyDescent="0.2">
      <c r="A63" s="642" t="s">
        <v>155</v>
      </c>
      <c r="B63" s="155" t="s">
        <v>495</v>
      </c>
      <c r="C63" s="644"/>
      <c r="D63" s="645"/>
      <c r="E63" s="645"/>
      <c r="F63" s="645"/>
      <c r="G63" s="645"/>
      <c r="H63" s="645"/>
      <c r="I63" s="645"/>
      <c r="J63" s="645"/>
      <c r="K63" s="645">
        <v>1</v>
      </c>
      <c r="L63" s="645">
        <v>1</v>
      </c>
      <c r="M63" s="645">
        <v>1</v>
      </c>
      <c r="N63" s="646">
        <v>1</v>
      </c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568"/>
      <c r="AA63" s="569">
        <v>30.8</v>
      </c>
      <c r="AB63" s="290"/>
      <c r="AC63" s="290">
        <v>5</v>
      </c>
      <c r="AD63" s="290"/>
      <c r="AE63" s="508">
        <f>650*1.2</f>
        <v>780</v>
      </c>
      <c r="AF63" s="566">
        <f t="shared" si="4"/>
        <v>0</v>
      </c>
      <c r="AG63" s="567">
        <f t="shared" si="5"/>
        <v>120120</v>
      </c>
      <c r="AH63" s="156"/>
    </row>
    <row r="64" spans="1:34" x14ac:dyDescent="0.2">
      <c r="A64" s="643"/>
      <c r="B64" s="155" t="s">
        <v>494</v>
      </c>
      <c r="C64" s="644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6"/>
      <c r="O64" s="645">
        <v>1</v>
      </c>
      <c r="P64" s="645">
        <v>1</v>
      </c>
      <c r="Q64" s="645"/>
      <c r="R64" s="645"/>
      <c r="S64" s="645"/>
      <c r="T64" s="645"/>
      <c r="U64" s="645"/>
      <c r="V64" s="645"/>
      <c r="W64" s="645"/>
      <c r="X64" s="645"/>
      <c r="Y64" s="645"/>
      <c r="Z64" s="568"/>
      <c r="AA64" s="569">
        <v>36</v>
      </c>
      <c r="AB64" s="290"/>
      <c r="AC64" s="290">
        <v>1</v>
      </c>
      <c r="AD64" s="290"/>
      <c r="AE64" s="508">
        <f>600*1.2</f>
        <v>720</v>
      </c>
      <c r="AF64" s="566">
        <f t="shared" si="4"/>
        <v>0</v>
      </c>
      <c r="AG64" s="567">
        <f t="shared" si="5"/>
        <v>25920</v>
      </c>
      <c r="AH64" s="156"/>
    </row>
    <row r="65" spans="1:34" x14ac:dyDescent="0.2">
      <c r="A65" s="643"/>
      <c r="B65" s="155" t="s">
        <v>496</v>
      </c>
      <c r="C65" s="644"/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6"/>
      <c r="O65" s="645"/>
      <c r="P65" s="645"/>
      <c r="Q65" s="645">
        <v>1</v>
      </c>
      <c r="R65" s="645">
        <v>1</v>
      </c>
      <c r="S65" s="645">
        <v>1</v>
      </c>
      <c r="T65" s="645"/>
      <c r="U65" s="645"/>
      <c r="V65" s="645"/>
      <c r="W65" s="645"/>
      <c r="X65" s="645"/>
      <c r="Y65" s="645"/>
      <c r="Z65" s="568"/>
      <c r="AA65" s="569">
        <v>25</v>
      </c>
      <c r="AB65" s="290"/>
      <c r="AC65" s="290">
        <v>3</v>
      </c>
      <c r="AD65" s="290"/>
      <c r="AE65" s="508">
        <f>107*1.2</f>
        <v>128.4</v>
      </c>
      <c r="AF65" s="566">
        <f t="shared" si="4"/>
        <v>0</v>
      </c>
      <c r="AG65" s="567">
        <f t="shared" si="5"/>
        <v>9630</v>
      </c>
      <c r="AH65" s="156"/>
    </row>
    <row r="66" spans="1:34" x14ac:dyDescent="0.2">
      <c r="A66" s="294" t="s">
        <v>156</v>
      </c>
      <c r="B66" s="155" t="s">
        <v>497</v>
      </c>
      <c r="C66" s="644"/>
      <c r="D66" s="645"/>
      <c r="E66" s="645"/>
      <c r="F66" s="645"/>
      <c r="G66" s="645"/>
      <c r="H66" s="645"/>
      <c r="I66" s="645"/>
      <c r="J66" s="645"/>
      <c r="K66" s="645"/>
      <c r="L66" s="645"/>
      <c r="M66" s="645"/>
      <c r="N66" s="646"/>
      <c r="O66" s="645"/>
      <c r="P66" s="645"/>
      <c r="Q66" s="645"/>
      <c r="R66" s="645"/>
      <c r="S66" s="645"/>
      <c r="T66" s="645"/>
      <c r="U66" s="645">
        <v>1</v>
      </c>
      <c r="V66" s="645">
        <v>1</v>
      </c>
      <c r="W66" s="645"/>
      <c r="X66" s="645"/>
      <c r="Y66" s="645"/>
      <c r="Z66" s="568"/>
      <c r="AA66" s="569">
        <v>22.5</v>
      </c>
      <c r="AB66" s="290"/>
      <c r="AC66" s="290">
        <v>2</v>
      </c>
      <c r="AD66" s="290"/>
      <c r="AE66" s="508">
        <f>570*1.2</f>
        <v>684</v>
      </c>
      <c r="AF66" s="566">
        <f t="shared" si="4"/>
        <v>0</v>
      </c>
      <c r="AG66" s="567">
        <f t="shared" si="5"/>
        <v>30780</v>
      </c>
      <c r="AH66" s="156"/>
    </row>
    <row r="67" spans="1:34" x14ac:dyDescent="0.2">
      <c r="A67" s="642"/>
      <c r="B67" s="155" t="s">
        <v>498</v>
      </c>
      <c r="C67" s="644"/>
      <c r="D67" s="645"/>
      <c r="E67" s="645"/>
      <c r="F67" s="645"/>
      <c r="G67" s="645"/>
      <c r="H67" s="645"/>
      <c r="I67" s="645"/>
      <c r="J67" s="645"/>
      <c r="K67" s="645"/>
      <c r="L67" s="645"/>
      <c r="M67" s="645"/>
      <c r="N67" s="646"/>
      <c r="O67" s="645"/>
      <c r="P67" s="645"/>
      <c r="Q67" s="645"/>
      <c r="R67" s="645"/>
      <c r="S67" s="645"/>
      <c r="T67" s="645">
        <v>1</v>
      </c>
      <c r="U67" s="645"/>
      <c r="V67" s="645"/>
      <c r="W67" s="645"/>
      <c r="X67" s="645"/>
      <c r="Y67" s="645"/>
      <c r="Z67" s="568"/>
      <c r="AA67" s="569">
        <v>20</v>
      </c>
      <c r="AB67" s="290"/>
      <c r="AC67" s="290">
        <v>1</v>
      </c>
      <c r="AD67" s="290"/>
      <c r="AE67" s="508">
        <f>710*1.2</f>
        <v>852</v>
      </c>
      <c r="AF67" s="566">
        <f t="shared" si="4"/>
        <v>0</v>
      </c>
      <c r="AG67" s="567">
        <f t="shared" si="5"/>
        <v>17040</v>
      </c>
      <c r="AH67" s="156"/>
    </row>
    <row r="68" spans="1:34" x14ac:dyDescent="0.2">
      <c r="A68" s="642" t="s">
        <v>157</v>
      </c>
      <c r="B68" s="155" t="s">
        <v>499</v>
      </c>
      <c r="C68" s="644"/>
      <c r="D68" s="645"/>
      <c r="E68" s="645"/>
      <c r="F68" s="645"/>
      <c r="G68" s="645"/>
      <c r="H68" s="645"/>
      <c r="I68" s="645"/>
      <c r="J68" s="645"/>
      <c r="K68" s="645"/>
      <c r="L68" s="645"/>
      <c r="M68" s="645"/>
      <c r="N68" s="646"/>
      <c r="O68" s="645"/>
      <c r="P68" s="645"/>
      <c r="Q68" s="645"/>
      <c r="R68" s="645"/>
      <c r="S68" s="645"/>
      <c r="T68" s="645"/>
      <c r="U68" s="645"/>
      <c r="V68" s="645"/>
      <c r="W68" s="645">
        <v>1</v>
      </c>
      <c r="X68" s="645"/>
      <c r="Y68" s="645"/>
      <c r="Z68" s="568"/>
      <c r="AA68" s="569">
        <v>5</v>
      </c>
      <c r="AB68" s="290"/>
      <c r="AC68" s="290">
        <v>1</v>
      </c>
      <c r="AD68" s="290"/>
      <c r="AE68" s="508">
        <f>790*1.2</f>
        <v>948</v>
      </c>
      <c r="AF68" s="566">
        <f t="shared" si="4"/>
        <v>0</v>
      </c>
      <c r="AG68" s="567">
        <f t="shared" si="5"/>
        <v>4740</v>
      </c>
      <c r="AH68" s="156"/>
    </row>
    <row r="69" spans="1:34" x14ac:dyDescent="0.2">
      <c r="A69" s="642"/>
      <c r="B69" s="155" t="s">
        <v>500</v>
      </c>
      <c r="C69" s="644"/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6"/>
      <c r="O69" s="645"/>
      <c r="P69" s="645"/>
      <c r="Q69" s="645"/>
      <c r="R69" s="645"/>
      <c r="S69" s="645"/>
      <c r="T69" s="645"/>
      <c r="U69" s="645"/>
      <c r="V69" s="645"/>
      <c r="W69" s="645">
        <v>1</v>
      </c>
      <c r="X69" s="645"/>
      <c r="Y69" s="645"/>
      <c r="Z69" s="568"/>
      <c r="AA69" s="569">
        <v>1</v>
      </c>
      <c r="AB69" s="290"/>
      <c r="AC69" s="290">
        <v>1</v>
      </c>
      <c r="AD69" s="290"/>
      <c r="AE69" s="508">
        <f>900*1.2</f>
        <v>1080</v>
      </c>
      <c r="AF69" s="566">
        <f t="shared" si="4"/>
        <v>0</v>
      </c>
      <c r="AG69" s="567">
        <f t="shared" si="5"/>
        <v>1080</v>
      </c>
      <c r="AH69" s="156"/>
    </row>
    <row r="70" spans="1:34" x14ac:dyDescent="0.2">
      <c r="A70" s="642"/>
      <c r="B70" s="155" t="s">
        <v>501</v>
      </c>
      <c r="C70" s="644"/>
      <c r="D70" s="645"/>
      <c r="E70" s="645"/>
      <c r="F70" s="645"/>
      <c r="G70" s="645"/>
      <c r="H70" s="645"/>
      <c r="I70" s="645"/>
      <c r="J70" s="645"/>
      <c r="K70" s="645"/>
      <c r="L70" s="645"/>
      <c r="M70" s="645"/>
      <c r="N70" s="646"/>
      <c r="O70" s="645"/>
      <c r="P70" s="645"/>
      <c r="Q70" s="645"/>
      <c r="R70" s="645"/>
      <c r="S70" s="645"/>
      <c r="T70" s="645"/>
      <c r="U70" s="645"/>
      <c r="V70" s="645"/>
      <c r="W70" s="645">
        <v>1</v>
      </c>
      <c r="X70" s="645"/>
      <c r="Y70" s="645"/>
      <c r="Z70" s="568"/>
      <c r="AA70" s="569">
        <v>1</v>
      </c>
      <c r="AB70" s="290"/>
      <c r="AC70" s="290">
        <v>1</v>
      </c>
      <c r="AD70" s="290"/>
      <c r="AE70" s="508">
        <f>1200*1.2</f>
        <v>1440</v>
      </c>
      <c r="AF70" s="566">
        <f t="shared" si="4"/>
        <v>0</v>
      </c>
      <c r="AG70" s="567">
        <f t="shared" si="5"/>
        <v>1440</v>
      </c>
      <c r="AH70" s="156"/>
    </row>
    <row r="71" spans="1:34" x14ac:dyDescent="0.2">
      <c r="A71" s="642"/>
      <c r="B71" s="155"/>
      <c r="C71" s="277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9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568"/>
      <c r="AA71" s="569"/>
      <c r="AB71" s="290"/>
      <c r="AC71" s="290"/>
      <c r="AD71" s="290"/>
      <c r="AE71" s="508"/>
      <c r="AF71" s="566"/>
      <c r="AG71" s="567"/>
      <c r="AH71" s="156"/>
    </row>
    <row r="72" spans="1:34" x14ac:dyDescent="0.2">
      <c r="A72" s="294" t="s">
        <v>489</v>
      </c>
      <c r="B72" s="155"/>
      <c r="C72" s="277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9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568"/>
      <c r="AA72" s="569"/>
      <c r="AB72" s="290"/>
      <c r="AC72" s="290"/>
      <c r="AD72" s="290"/>
      <c r="AE72" s="508"/>
      <c r="AF72" s="566"/>
      <c r="AG72" s="567"/>
      <c r="AH72" s="156"/>
    </row>
    <row r="73" spans="1:34" x14ac:dyDescent="0.2">
      <c r="A73" s="642" t="s">
        <v>321</v>
      </c>
      <c r="B73" s="155" t="s">
        <v>491</v>
      </c>
      <c r="C73" s="644">
        <v>1</v>
      </c>
      <c r="D73" s="645">
        <v>1</v>
      </c>
      <c r="E73" s="645">
        <v>1</v>
      </c>
      <c r="F73" s="645"/>
      <c r="G73" s="645"/>
      <c r="H73" s="645"/>
      <c r="I73" s="645"/>
      <c r="J73" s="645"/>
      <c r="K73" s="645"/>
      <c r="L73" s="645"/>
      <c r="M73" s="645"/>
      <c r="N73" s="646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568"/>
      <c r="AA73" s="569">
        <v>39</v>
      </c>
      <c r="AB73" s="290"/>
      <c r="AC73" s="290">
        <v>2</v>
      </c>
      <c r="AD73" s="290"/>
      <c r="AE73" s="508">
        <f>740*1.2</f>
        <v>888</v>
      </c>
      <c r="AF73" s="566">
        <f t="shared" si="4"/>
        <v>0</v>
      </c>
      <c r="AG73" s="567">
        <f t="shared" si="5"/>
        <v>69264</v>
      </c>
      <c r="AH73" s="156"/>
    </row>
    <row r="74" spans="1:34" x14ac:dyDescent="0.2">
      <c r="A74" s="642"/>
      <c r="B74" s="155" t="s">
        <v>492</v>
      </c>
      <c r="C74" s="644"/>
      <c r="D74" s="645"/>
      <c r="E74" s="645"/>
      <c r="F74" s="645">
        <v>1</v>
      </c>
      <c r="G74" s="645">
        <v>1</v>
      </c>
      <c r="H74" s="645"/>
      <c r="I74" s="645"/>
      <c r="J74" s="645"/>
      <c r="K74" s="645"/>
      <c r="L74" s="645"/>
      <c r="M74" s="645"/>
      <c r="N74" s="646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568"/>
      <c r="AA74" s="569">
        <v>28</v>
      </c>
      <c r="AB74" s="290"/>
      <c r="AC74" s="290">
        <v>1</v>
      </c>
      <c r="AD74" s="290"/>
      <c r="AE74" s="508">
        <f>910*1.2</f>
        <v>1092</v>
      </c>
      <c r="AF74" s="566">
        <f t="shared" si="4"/>
        <v>0</v>
      </c>
      <c r="AG74" s="567">
        <f t="shared" si="5"/>
        <v>30576</v>
      </c>
      <c r="AH74" s="156"/>
    </row>
    <row r="75" spans="1:34" x14ac:dyDescent="0.2">
      <c r="A75" s="642"/>
      <c r="B75" s="155" t="s">
        <v>493</v>
      </c>
      <c r="C75" s="644"/>
      <c r="D75" s="645"/>
      <c r="E75" s="645"/>
      <c r="F75" s="645"/>
      <c r="G75" s="645"/>
      <c r="H75" s="645">
        <v>1</v>
      </c>
      <c r="I75" s="645">
        <v>1</v>
      </c>
      <c r="J75" s="645"/>
      <c r="K75" s="645"/>
      <c r="L75" s="645"/>
      <c r="M75" s="645"/>
      <c r="N75" s="646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568"/>
      <c r="AA75" s="569">
        <v>20</v>
      </c>
      <c r="AB75" s="290"/>
      <c r="AC75" s="290">
        <v>1</v>
      </c>
      <c r="AD75" s="290"/>
      <c r="AE75" s="508">
        <f>107*1.2</f>
        <v>128.4</v>
      </c>
      <c r="AF75" s="566">
        <f t="shared" si="4"/>
        <v>0</v>
      </c>
      <c r="AG75" s="567">
        <f t="shared" si="5"/>
        <v>2568</v>
      </c>
      <c r="AH75" s="156"/>
    </row>
    <row r="76" spans="1:34" x14ac:dyDescent="0.2">
      <c r="A76" s="642"/>
      <c r="B76" s="155" t="s">
        <v>494</v>
      </c>
      <c r="C76" s="644"/>
      <c r="D76" s="645"/>
      <c r="E76" s="645"/>
      <c r="F76" s="645"/>
      <c r="G76" s="645"/>
      <c r="H76" s="645"/>
      <c r="I76" s="645"/>
      <c r="J76" s="645">
        <v>1</v>
      </c>
      <c r="K76" s="645"/>
      <c r="L76" s="645"/>
      <c r="M76" s="645"/>
      <c r="N76" s="646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568"/>
      <c r="AA76" s="569">
        <v>10</v>
      </c>
      <c r="AB76" s="290"/>
      <c r="AC76" s="290">
        <v>1</v>
      </c>
      <c r="AD76" s="290"/>
      <c r="AE76" s="508">
        <f>600*1.2</f>
        <v>720</v>
      </c>
      <c r="AF76" s="566">
        <f t="shared" si="4"/>
        <v>0</v>
      </c>
      <c r="AG76" s="567">
        <f t="shared" si="5"/>
        <v>7200</v>
      </c>
      <c r="AH76" s="156"/>
    </row>
    <row r="77" spans="1:34" x14ac:dyDescent="0.2">
      <c r="A77" s="642" t="s">
        <v>155</v>
      </c>
      <c r="B77" s="155" t="s">
        <v>495</v>
      </c>
      <c r="C77" s="644"/>
      <c r="D77" s="645"/>
      <c r="E77" s="645"/>
      <c r="F77" s="645"/>
      <c r="G77" s="645"/>
      <c r="H77" s="645"/>
      <c r="I77" s="645"/>
      <c r="J77" s="645"/>
      <c r="K77" s="645">
        <v>1</v>
      </c>
      <c r="L77" s="645">
        <v>1</v>
      </c>
      <c r="M77" s="645">
        <v>1</v>
      </c>
      <c r="N77" s="646"/>
      <c r="O77" s="645"/>
      <c r="P77" s="645"/>
      <c r="Q77" s="645"/>
      <c r="R77" s="645"/>
      <c r="S77" s="645"/>
      <c r="T77" s="645"/>
      <c r="U77" s="645"/>
      <c r="V77" s="645"/>
      <c r="W77" s="645"/>
      <c r="X77" s="645"/>
      <c r="Y77" s="645"/>
      <c r="Z77" s="568"/>
      <c r="AA77" s="569">
        <v>50</v>
      </c>
      <c r="AB77" s="290"/>
      <c r="AC77" s="290">
        <v>3</v>
      </c>
      <c r="AD77" s="290"/>
      <c r="AE77" s="508">
        <f>650*1.2</f>
        <v>780</v>
      </c>
      <c r="AF77" s="566">
        <f t="shared" si="4"/>
        <v>0</v>
      </c>
      <c r="AG77" s="567">
        <f t="shared" si="5"/>
        <v>117000</v>
      </c>
      <c r="AH77" s="156"/>
    </row>
    <row r="78" spans="1:34" x14ac:dyDescent="0.2">
      <c r="A78" s="642"/>
      <c r="B78" s="155" t="s">
        <v>494</v>
      </c>
      <c r="C78" s="644"/>
      <c r="D78" s="645"/>
      <c r="E78" s="645"/>
      <c r="F78" s="645"/>
      <c r="G78" s="645"/>
      <c r="H78" s="645"/>
      <c r="I78" s="645"/>
      <c r="J78" s="645"/>
      <c r="K78" s="645"/>
      <c r="L78" s="645"/>
      <c r="M78" s="645"/>
      <c r="N78" s="646">
        <v>1</v>
      </c>
      <c r="O78" s="645">
        <v>1</v>
      </c>
      <c r="P78" s="645"/>
      <c r="Q78" s="645"/>
      <c r="R78" s="645"/>
      <c r="S78" s="645"/>
      <c r="T78" s="645"/>
      <c r="U78" s="645"/>
      <c r="V78" s="645"/>
      <c r="W78" s="645"/>
      <c r="X78" s="645"/>
      <c r="Y78" s="645"/>
      <c r="Z78" s="568"/>
      <c r="AA78" s="569">
        <v>30</v>
      </c>
      <c r="AB78" s="290"/>
      <c r="AC78" s="290">
        <v>1</v>
      </c>
      <c r="AD78" s="290"/>
      <c r="AE78" s="508">
        <f>600*1.2</f>
        <v>720</v>
      </c>
      <c r="AF78" s="566">
        <f t="shared" si="4"/>
        <v>0</v>
      </c>
      <c r="AG78" s="567">
        <f t="shared" si="5"/>
        <v>21600</v>
      </c>
      <c r="AH78" s="156"/>
    </row>
    <row r="79" spans="1:34" x14ac:dyDescent="0.2">
      <c r="A79" s="294"/>
      <c r="B79" s="155" t="s">
        <v>496</v>
      </c>
      <c r="C79" s="644"/>
      <c r="D79" s="645"/>
      <c r="E79" s="645"/>
      <c r="F79" s="645"/>
      <c r="G79" s="645"/>
      <c r="H79" s="645"/>
      <c r="I79" s="645"/>
      <c r="J79" s="645"/>
      <c r="K79" s="645"/>
      <c r="L79" s="645"/>
      <c r="M79" s="645"/>
      <c r="N79" s="646"/>
      <c r="O79" s="645">
        <v>1</v>
      </c>
      <c r="P79" s="645">
        <v>1</v>
      </c>
      <c r="Q79" s="645"/>
      <c r="R79" s="645"/>
      <c r="S79" s="645"/>
      <c r="T79" s="645"/>
      <c r="U79" s="645"/>
      <c r="V79" s="645"/>
      <c r="W79" s="645"/>
      <c r="X79" s="645"/>
      <c r="Y79" s="645"/>
      <c r="Z79" s="568"/>
      <c r="AA79" s="569">
        <v>30</v>
      </c>
      <c r="AB79" s="290"/>
      <c r="AC79" s="290">
        <v>2</v>
      </c>
      <c r="AD79" s="290"/>
      <c r="AE79" s="508">
        <f>107*1.2</f>
        <v>128.4</v>
      </c>
      <c r="AF79" s="566">
        <f t="shared" si="4"/>
        <v>0</v>
      </c>
      <c r="AG79" s="567">
        <f t="shared" si="5"/>
        <v>7704</v>
      </c>
      <c r="AH79" s="156"/>
    </row>
    <row r="80" spans="1:34" x14ac:dyDescent="0.2">
      <c r="A80" s="642" t="s">
        <v>156</v>
      </c>
      <c r="B80" s="155" t="s">
        <v>497</v>
      </c>
      <c r="C80" s="644"/>
      <c r="D80" s="645"/>
      <c r="E80" s="645"/>
      <c r="F80" s="645"/>
      <c r="G80" s="645"/>
      <c r="H80" s="645"/>
      <c r="I80" s="645"/>
      <c r="J80" s="645"/>
      <c r="K80" s="645"/>
      <c r="L80" s="645"/>
      <c r="M80" s="645"/>
      <c r="N80" s="646"/>
      <c r="O80" s="645"/>
      <c r="P80" s="645"/>
      <c r="Q80" s="645"/>
      <c r="R80" s="645">
        <v>1</v>
      </c>
      <c r="S80" s="645"/>
      <c r="T80" s="645"/>
      <c r="U80" s="645"/>
      <c r="V80" s="645"/>
      <c r="W80" s="645"/>
      <c r="X80" s="645"/>
      <c r="Y80" s="645"/>
      <c r="Z80" s="568"/>
      <c r="AA80" s="569">
        <v>20</v>
      </c>
      <c r="AB80" s="290"/>
      <c r="AC80" s="290">
        <v>1</v>
      </c>
      <c r="AD80" s="290"/>
      <c r="AE80" s="508">
        <f>570*1.2</f>
        <v>684</v>
      </c>
      <c r="AF80" s="566">
        <f t="shared" si="4"/>
        <v>0</v>
      </c>
      <c r="AG80" s="567">
        <f t="shared" si="5"/>
        <v>13680</v>
      </c>
      <c r="AH80" s="156"/>
    </row>
    <row r="81" spans="1:35" x14ac:dyDescent="0.2">
      <c r="A81" s="642"/>
      <c r="B81" s="155" t="s">
        <v>498</v>
      </c>
      <c r="C81" s="644"/>
      <c r="D81" s="645"/>
      <c r="E81" s="645"/>
      <c r="F81" s="645"/>
      <c r="G81" s="645"/>
      <c r="H81" s="645"/>
      <c r="I81" s="645"/>
      <c r="J81" s="645"/>
      <c r="K81" s="645"/>
      <c r="L81" s="645"/>
      <c r="M81" s="645"/>
      <c r="N81" s="646"/>
      <c r="O81" s="645"/>
      <c r="P81" s="645"/>
      <c r="Q81" s="645">
        <v>1</v>
      </c>
      <c r="R81" s="645"/>
      <c r="S81" s="645"/>
      <c r="T81" s="645"/>
      <c r="U81" s="645"/>
      <c r="V81" s="645"/>
      <c r="W81" s="645"/>
      <c r="X81" s="645"/>
      <c r="Y81" s="645"/>
      <c r="Z81" s="568"/>
      <c r="AA81" s="569">
        <v>15</v>
      </c>
      <c r="AB81" s="290"/>
      <c r="AC81" s="290">
        <v>1</v>
      </c>
      <c r="AD81" s="290"/>
      <c r="AE81" s="508">
        <f>710*1.2</f>
        <v>852</v>
      </c>
      <c r="AF81" s="566">
        <f t="shared" si="4"/>
        <v>0</v>
      </c>
      <c r="AG81" s="567">
        <f t="shared" si="5"/>
        <v>12780</v>
      </c>
      <c r="AH81" s="156"/>
    </row>
    <row r="82" spans="1:35" x14ac:dyDescent="0.2">
      <c r="A82" s="642" t="s">
        <v>157</v>
      </c>
      <c r="B82" s="155" t="s">
        <v>499</v>
      </c>
      <c r="C82" s="644"/>
      <c r="D82" s="645"/>
      <c r="E82" s="645"/>
      <c r="F82" s="645"/>
      <c r="G82" s="645"/>
      <c r="H82" s="645"/>
      <c r="I82" s="645"/>
      <c r="J82" s="645"/>
      <c r="K82" s="645"/>
      <c r="L82" s="645"/>
      <c r="M82" s="645"/>
      <c r="N82" s="646"/>
      <c r="O82" s="645"/>
      <c r="P82" s="645"/>
      <c r="Q82" s="645"/>
      <c r="R82" s="645"/>
      <c r="S82" s="645">
        <v>1</v>
      </c>
      <c r="T82" s="645"/>
      <c r="U82" s="645"/>
      <c r="V82" s="645"/>
      <c r="W82" s="645"/>
      <c r="X82" s="645"/>
      <c r="Y82" s="645"/>
      <c r="Z82" s="568"/>
      <c r="AA82" s="569">
        <v>2</v>
      </c>
      <c r="AB82" s="290"/>
      <c r="AC82" s="290">
        <v>1</v>
      </c>
      <c r="AD82" s="290"/>
      <c r="AE82" s="508">
        <f>790*1.2</f>
        <v>948</v>
      </c>
      <c r="AF82" s="566">
        <f t="shared" si="4"/>
        <v>0</v>
      </c>
      <c r="AG82" s="567">
        <f t="shared" si="5"/>
        <v>1896</v>
      </c>
      <c r="AH82" s="156"/>
    </row>
    <row r="83" spans="1:35" x14ac:dyDescent="0.2">
      <c r="A83" s="642"/>
      <c r="B83" s="155"/>
      <c r="C83" s="277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9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568"/>
      <c r="AA83" s="569"/>
      <c r="AB83" s="290"/>
      <c r="AC83" s="290"/>
      <c r="AD83" s="290"/>
      <c r="AE83" s="508"/>
      <c r="AF83" s="566"/>
      <c r="AG83" s="567"/>
      <c r="AH83" s="156"/>
    </row>
    <row r="84" spans="1:35" x14ac:dyDescent="0.2">
      <c r="A84" s="294" t="s">
        <v>490</v>
      </c>
      <c r="B84" s="155"/>
      <c r="C84" s="277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9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568"/>
      <c r="AA84" s="569"/>
      <c r="AB84" s="290"/>
      <c r="AC84" s="290"/>
      <c r="AD84" s="290"/>
      <c r="AE84" s="508"/>
      <c r="AF84" s="566"/>
      <c r="AG84" s="567"/>
      <c r="AH84" s="156"/>
    </row>
    <row r="85" spans="1:35" x14ac:dyDescent="0.2">
      <c r="A85" s="642" t="s">
        <v>321</v>
      </c>
      <c r="B85" s="155" t="s">
        <v>491</v>
      </c>
      <c r="C85" s="644">
        <v>1</v>
      </c>
      <c r="D85" s="645">
        <v>1</v>
      </c>
      <c r="E85" s="645">
        <v>1</v>
      </c>
      <c r="F85" s="645"/>
      <c r="G85" s="645"/>
      <c r="H85" s="645"/>
      <c r="I85" s="645"/>
      <c r="J85" s="645"/>
      <c r="K85" s="645"/>
      <c r="L85" s="645"/>
      <c r="M85" s="645"/>
      <c r="N85" s="646"/>
      <c r="O85" s="645"/>
      <c r="P85" s="645"/>
      <c r="Q85" s="645"/>
      <c r="R85" s="645"/>
      <c r="S85" s="645"/>
      <c r="T85" s="645"/>
      <c r="U85" s="645"/>
      <c r="V85" s="645"/>
      <c r="W85" s="645"/>
      <c r="X85" s="645"/>
      <c r="Y85" s="645"/>
      <c r="Z85" s="568"/>
      <c r="AA85" s="569">
        <v>56</v>
      </c>
      <c r="AB85" s="290"/>
      <c r="AC85" s="290">
        <v>2</v>
      </c>
      <c r="AD85" s="290"/>
      <c r="AE85" s="508">
        <f>740*1.2</f>
        <v>888</v>
      </c>
      <c r="AF85" s="566">
        <f t="shared" ref="AF85:AF95" si="6">Z85*AB85*AD85</f>
        <v>0</v>
      </c>
      <c r="AG85" s="567">
        <f t="shared" ref="AG85:AG95" si="7">AA85*AC85*AE85</f>
        <v>99456</v>
      </c>
      <c r="AH85" s="156"/>
    </row>
    <row r="86" spans="1:35" x14ac:dyDescent="0.2">
      <c r="A86" s="294"/>
      <c r="B86" s="155" t="s">
        <v>492</v>
      </c>
      <c r="C86" s="644"/>
      <c r="D86" s="645"/>
      <c r="E86" s="645"/>
      <c r="F86" s="645">
        <v>1</v>
      </c>
      <c r="G86" s="645">
        <v>1</v>
      </c>
      <c r="H86" s="645"/>
      <c r="I86" s="645"/>
      <c r="J86" s="645"/>
      <c r="K86" s="645"/>
      <c r="L86" s="645"/>
      <c r="M86" s="645"/>
      <c r="N86" s="646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568"/>
      <c r="AA86" s="569">
        <v>52</v>
      </c>
      <c r="AB86" s="290"/>
      <c r="AC86" s="290">
        <v>1</v>
      </c>
      <c r="AD86" s="290"/>
      <c r="AE86" s="508">
        <f>910*1.2</f>
        <v>1092</v>
      </c>
      <c r="AF86" s="566">
        <f t="shared" si="6"/>
        <v>0</v>
      </c>
      <c r="AG86" s="567">
        <f t="shared" si="7"/>
        <v>56784</v>
      </c>
      <c r="AH86" s="156"/>
    </row>
    <row r="87" spans="1:35" x14ac:dyDescent="0.2">
      <c r="A87" s="642"/>
      <c r="B87" s="155" t="s">
        <v>493</v>
      </c>
      <c r="C87" s="644"/>
      <c r="D87" s="645"/>
      <c r="E87" s="645"/>
      <c r="F87" s="645"/>
      <c r="G87" s="645"/>
      <c r="H87" s="645">
        <v>1</v>
      </c>
      <c r="I87" s="645">
        <v>1</v>
      </c>
      <c r="J87" s="645"/>
      <c r="K87" s="645"/>
      <c r="L87" s="645"/>
      <c r="M87" s="645"/>
      <c r="N87" s="646"/>
      <c r="O87" s="645"/>
      <c r="P87" s="645"/>
      <c r="Q87" s="645"/>
      <c r="R87" s="645"/>
      <c r="S87" s="645"/>
      <c r="T87" s="645"/>
      <c r="U87" s="645"/>
      <c r="V87" s="645"/>
      <c r="W87" s="645"/>
      <c r="X87" s="645"/>
      <c r="Y87" s="645"/>
      <c r="Z87" s="568"/>
      <c r="AA87" s="569">
        <v>35</v>
      </c>
      <c r="AB87" s="290"/>
      <c r="AC87" s="290">
        <v>1</v>
      </c>
      <c r="AD87" s="290"/>
      <c r="AE87" s="508">
        <f>107*1.2</f>
        <v>128.4</v>
      </c>
      <c r="AF87" s="566">
        <f t="shared" si="6"/>
        <v>0</v>
      </c>
      <c r="AG87" s="567">
        <f t="shared" si="7"/>
        <v>4494</v>
      </c>
      <c r="AH87" s="156"/>
    </row>
    <row r="88" spans="1:35" x14ac:dyDescent="0.2">
      <c r="A88" s="642"/>
      <c r="B88" s="155" t="s">
        <v>494</v>
      </c>
      <c r="C88" s="644"/>
      <c r="D88" s="645"/>
      <c r="E88" s="645"/>
      <c r="F88" s="645"/>
      <c r="G88" s="645"/>
      <c r="H88" s="645"/>
      <c r="I88" s="645"/>
      <c r="J88" s="645">
        <v>1</v>
      </c>
      <c r="K88" s="645"/>
      <c r="L88" s="645"/>
      <c r="M88" s="645"/>
      <c r="N88" s="646"/>
      <c r="O88" s="645"/>
      <c r="P88" s="645"/>
      <c r="Q88" s="645"/>
      <c r="R88" s="645"/>
      <c r="S88" s="645"/>
      <c r="T88" s="645"/>
      <c r="U88" s="645"/>
      <c r="V88" s="645"/>
      <c r="W88" s="645"/>
      <c r="X88" s="645"/>
      <c r="Y88" s="645"/>
      <c r="Z88" s="568"/>
      <c r="AA88" s="569">
        <v>10</v>
      </c>
      <c r="AB88" s="290"/>
      <c r="AC88" s="290">
        <v>1</v>
      </c>
      <c r="AD88" s="290"/>
      <c r="AE88" s="508">
        <f>600*1.2</f>
        <v>720</v>
      </c>
      <c r="AF88" s="566">
        <f t="shared" si="6"/>
        <v>0</v>
      </c>
      <c r="AG88" s="567">
        <f t="shared" si="7"/>
        <v>7200</v>
      </c>
      <c r="AH88" s="156"/>
    </row>
    <row r="89" spans="1:35" x14ac:dyDescent="0.2">
      <c r="A89" s="642" t="s">
        <v>155</v>
      </c>
      <c r="B89" s="155" t="s">
        <v>495</v>
      </c>
      <c r="C89" s="644"/>
      <c r="D89" s="645"/>
      <c r="E89" s="645"/>
      <c r="F89" s="645"/>
      <c r="G89" s="645"/>
      <c r="H89" s="645"/>
      <c r="I89" s="645"/>
      <c r="J89" s="645"/>
      <c r="K89" s="645">
        <v>1</v>
      </c>
      <c r="L89" s="645">
        <v>1</v>
      </c>
      <c r="M89" s="645">
        <v>1</v>
      </c>
      <c r="N89" s="646"/>
      <c r="O89" s="645"/>
      <c r="P89" s="645"/>
      <c r="Q89" s="645"/>
      <c r="R89" s="645"/>
      <c r="S89" s="645"/>
      <c r="T89" s="645"/>
      <c r="U89" s="645"/>
      <c r="V89" s="645"/>
      <c r="W89" s="645"/>
      <c r="X89" s="645"/>
      <c r="Y89" s="645"/>
      <c r="Z89" s="568"/>
      <c r="AA89" s="569">
        <v>50</v>
      </c>
      <c r="AB89" s="290"/>
      <c r="AC89" s="290">
        <v>4</v>
      </c>
      <c r="AD89" s="290"/>
      <c r="AE89" s="508">
        <f>650*1.2</f>
        <v>780</v>
      </c>
      <c r="AF89" s="566">
        <f t="shared" si="6"/>
        <v>0</v>
      </c>
      <c r="AG89" s="567">
        <f t="shared" si="7"/>
        <v>156000</v>
      </c>
      <c r="AH89" s="156"/>
    </row>
    <row r="90" spans="1:35" x14ac:dyDescent="0.2">
      <c r="A90" s="642"/>
      <c r="B90" s="155" t="s">
        <v>494</v>
      </c>
      <c r="C90" s="644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6">
        <v>1</v>
      </c>
      <c r="O90" s="645"/>
      <c r="P90" s="645"/>
      <c r="Q90" s="645"/>
      <c r="R90" s="645"/>
      <c r="S90" s="645"/>
      <c r="T90" s="645"/>
      <c r="U90" s="645"/>
      <c r="V90" s="645"/>
      <c r="W90" s="645"/>
      <c r="X90" s="645"/>
      <c r="Y90" s="645"/>
      <c r="Z90" s="568"/>
      <c r="AA90" s="569">
        <v>20</v>
      </c>
      <c r="AB90" s="290"/>
      <c r="AC90" s="290">
        <v>2</v>
      </c>
      <c r="AD90" s="290"/>
      <c r="AE90" s="508">
        <f>600*1.2</f>
        <v>720</v>
      </c>
      <c r="AF90" s="566">
        <f t="shared" si="6"/>
        <v>0</v>
      </c>
      <c r="AG90" s="567">
        <f t="shared" si="7"/>
        <v>28800</v>
      </c>
      <c r="AH90" s="156"/>
    </row>
    <row r="91" spans="1:35" x14ac:dyDescent="0.2">
      <c r="A91" s="642"/>
      <c r="B91" s="155" t="s">
        <v>496</v>
      </c>
      <c r="C91" s="644"/>
      <c r="D91" s="645"/>
      <c r="E91" s="645"/>
      <c r="F91" s="645"/>
      <c r="G91" s="645"/>
      <c r="H91" s="645"/>
      <c r="I91" s="645"/>
      <c r="J91" s="645"/>
      <c r="K91" s="645"/>
      <c r="L91" s="645"/>
      <c r="M91" s="645"/>
      <c r="N91" s="646"/>
      <c r="O91" s="645">
        <v>1</v>
      </c>
      <c r="P91" s="645">
        <v>1</v>
      </c>
      <c r="Q91" s="645"/>
      <c r="R91" s="645"/>
      <c r="S91" s="645"/>
      <c r="T91" s="645"/>
      <c r="U91" s="645"/>
      <c r="V91" s="645"/>
      <c r="W91" s="645"/>
      <c r="X91" s="645"/>
      <c r="Y91" s="645"/>
      <c r="Z91" s="568"/>
      <c r="AA91" s="569">
        <v>35</v>
      </c>
      <c r="AB91" s="290"/>
      <c r="AC91" s="290">
        <v>2</v>
      </c>
      <c r="AD91" s="290"/>
      <c r="AE91" s="508">
        <f>107*1.2</f>
        <v>128.4</v>
      </c>
      <c r="AF91" s="566">
        <f t="shared" si="6"/>
        <v>0</v>
      </c>
      <c r="AG91" s="567">
        <f t="shared" si="7"/>
        <v>8988</v>
      </c>
      <c r="AH91" s="156"/>
      <c r="AI91" s="156"/>
    </row>
    <row r="92" spans="1:35" x14ac:dyDescent="0.2">
      <c r="A92" s="642" t="s">
        <v>156</v>
      </c>
      <c r="B92" s="155" t="s">
        <v>497</v>
      </c>
      <c r="C92" s="644"/>
      <c r="D92" s="645"/>
      <c r="E92" s="645"/>
      <c r="F92" s="645"/>
      <c r="G92" s="645"/>
      <c r="H92" s="645"/>
      <c r="I92" s="645"/>
      <c r="J92" s="645"/>
      <c r="K92" s="645"/>
      <c r="L92" s="645"/>
      <c r="M92" s="645"/>
      <c r="N92" s="646"/>
      <c r="O92" s="645"/>
      <c r="P92" s="645"/>
      <c r="Q92" s="645"/>
      <c r="R92" s="645">
        <v>1</v>
      </c>
      <c r="S92" s="645">
        <v>1</v>
      </c>
      <c r="T92" s="645"/>
      <c r="U92" s="645"/>
      <c r="V92" s="645"/>
      <c r="W92" s="645"/>
      <c r="X92" s="645"/>
      <c r="Y92" s="645"/>
      <c r="Z92" s="568"/>
      <c r="AA92" s="569">
        <v>30</v>
      </c>
      <c r="AB92" s="290"/>
      <c r="AC92" s="290">
        <v>2</v>
      </c>
      <c r="AD92" s="290"/>
      <c r="AE92" s="508">
        <f>570*1.2</f>
        <v>684</v>
      </c>
      <c r="AF92" s="566">
        <f t="shared" si="6"/>
        <v>0</v>
      </c>
      <c r="AG92" s="567">
        <f t="shared" si="7"/>
        <v>41040</v>
      </c>
      <c r="AH92" s="156"/>
      <c r="AI92" s="156"/>
    </row>
    <row r="93" spans="1:35" x14ac:dyDescent="0.2">
      <c r="A93" s="642"/>
      <c r="B93" s="155" t="s">
        <v>498</v>
      </c>
      <c r="C93" s="644"/>
      <c r="D93" s="645"/>
      <c r="E93" s="645"/>
      <c r="F93" s="645"/>
      <c r="G93" s="645"/>
      <c r="H93" s="645"/>
      <c r="I93" s="645"/>
      <c r="J93" s="645"/>
      <c r="K93" s="645"/>
      <c r="L93" s="645"/>
      <c r="M93" s="645"/>
      <c r="N93" s="646"/>
      <c r="O93" s="645"/>
      <c r="P93" s="645"/>
      <c r="Q93" s="645">
        <v>1</v>
      </c>
      <c r="R93" s="645">
        <v>1</v>
      </c>
      <c r="S93" s="645"/>
      <c r="T93" s="645"/>
      <c r="U93" s="645"/>
      <c r="V93" s="645"/>
      <c r="W93" s="645"/>
      <c r="X93" s="645"/>
      <c r="Y93" s="645"/>
      <c r="Z93" s="568"/>
      <c r="AA93" s="569">
        <v>15</v>
      </c>
      <c r="AB93" s="290"/>
      <c r="AC93" s="290">
        <v>1</v>
      </c>
      <c r="AD93" s="290"/>
      <c r="AE93" s="508">
        <f>710*1.2</f>
        <v>852</v>
      </c>
      <c r="AF93" s="566">
        <f t="shared" si="6"/>
        <v>0</v>
      </c>
      <c r="AG93" s="567">
        <f t="shared" si="7"/>
        <v>12780</v>
      </c>
      <c r="AH93" s="156"/>
    </row>
    <row r="94" spans="1:35" x14ac:dyDescent="0.2">
      <c r="A94" s="642" t="s">
        <v>157</v>
      </c>
      <c r="B94" s="155" t="s">
        <v>499</v>
      </c>
      <c r="C94" s="644"/>
      <c r="D94" s="645"/>
      <c r="E94" s="645"/>
      <c r="F94" s="645"/>
      <c r="G94" s="645"/>
      <c r="H94" s="645"/>
      <c r="I94" s="645"/>
      <c r="J94" s="645"/>
      <c r="K94" s="645"/>
      <c r="L94" s="645"/>
      <c r="M94" s="645"/>
      <c r="N94" s="646"/>
      <c r="O94" s="645"/>
      <c r="P94" s="645"/>
      <c r="Q94" s="645"/>
      <c r="R94" s="645"/>
      <c r="S94" s="645"/>
      <c r="T94" s="645">
        <v>1</v>
      </c>
      <c r="U94" s="645"/>
      <c r="V94" s="645"/>
      <c r="W94" s="645"/>
      <c r="X94" s="645"/>
      <c r="Y94" s="645"/>
      <c r="Z94" s="568"/>
      <c r="AA94" s="569">
        <v>4</v>
      </c>
      <c r="AB94" s="290"/>
      <c r="AC94" s="290">
        <v>1</v>
      </c>
      <c r="AD94" s="290"/>
      <c r="AE94" s="508">
        <f>790*1.2</f>
        <v>948</v>
      </c>
      <c r="AF94" s="566">
        <f t="shared" si="6"/>
        <v>0</v>
      </c>
      <c r="AG94" s="567">
        <f t="shared" si="7"/>
        <v>3792</v>
      </c>
      <c r="AH94" s="156"/>
    </row>
    <row r="95" spans="1:35" ht="12.75" thickBot="1" x14ac:dyDescent="0.25">
      <c r="A95" s="642"/>
      <c r="B95" s="155" t="s">
        <v>501</v>
      </c>
      <c r="C95" s="644"/>
      <c r="D95" s="645"/>
      <c r="E95" s="645"/>
      <c r="F95" s="645"/>
      <c r="G95" s="645"/>
      <c r="H95" s="645"/>
      <c r="I95" s="645"/>
      <c r="J95" s="645"/>
      <c r="K95" s="645"/>
      <c r="L95" s="645"/>
      <c r="M95" s="645"/>
      <c r="N95" s="646"/>
      <c r="O95" s="645"/>
      <c r="P95" s="645"/>
      <c r="Q95" s="645"/>
      <c r="R95" s="645"/>
      <c r="S95" s="645"/>
      <c r="T95" s="645">
        <v>1</v>
      </c>
      <c r="U95" s="645"/>
      <c r="V95" s="645"/>
      <c r="W95" s="645"/>
      <c r="X95" s="645"/>
      <c r="Y95" s="645"/>
      <c r="Z95" s="568"/>
      <c r="AA95" s="569">
        <v>1</v>
      </c>
      <c r="AB95" s="290"/>
      <c r="AC95" s="290">
        <v>1</v>
      </c>
      <c r="AD95" s="290"/>
      <c r="AE95" s="508">
        <f>1200*1.2</f>
        <v>1440</v>
      </c>
      <c r="AF95" s="566">
        <f t="shared" si="6"/>
        <v>0</v>
      </c>
      <c r="AG95" s="567">
        <f t="shared" si="7"/>
        <v>1440</v>
      </c>
      <c r="AH95" s="156"/>
    </row>
    <row r="96" spans="1:35" ht="12.75" thickBot="1" x14ac:dyDescent="0.25">
      <c r="A96" s="296" t="s">
        <v>160</v>
      </c>
      <c r="B96" s="157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76"/>
      <c r="AA96" s="276"/>
      <c r="AB96" s="276"/>
      <c r="AC96" s="276"/>
      <c r="AD96" s="276"/>
      <c r="AE96" s="276"/>
      <c r="AF96" s="562">
        <f>SUM(AF4:AF95)</f>
        <v>0</v>
      </c>
      <c r="AG96" s="563">
        <f>SUM(AG4:AG95)</f>
        <v>2598804</v>
      </c>
      <c r="AH96" s="158"/>
      <c r="AI96" s="158"/>
    </row>
    <row r="97" spans="33:35" x14ac:dyDescent="0.2">
      <c r="AH97" s="159"/>
      <c r="AI97" s="159"/>
    </row>
    <row r="99" spans="33:35" ht="15.75" x14ac:dyDescent="0.25">
      <c r="AG99" s="160"/>
    </row>
  </sheetData>
  <conditionalFormatting sqref="C4:Y4 C17:Y18 C30:Y31 C42:Y43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C57:Y58 C71:Y72 C83:Y84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C19:Y29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C5:Y16">
    <cfRule type="colorScale" priority="10">
      <colorScale>
        <cfvo type="num" val="0"/>
        <cfvo type="num" val="1"/>
        <color theme="0"/>
        <color theme="2" tint="-0.249977111117893"/>
      </colorScale>
    </cfRule>
  </conditionalFormatting>
  <conditionalFormatting sqref="C32:Y41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C44:Y5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C56:Y56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C59:Y69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C70:Y70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C73:Y82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C85:Y94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C95:Y95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ignoredErrors>
    <ignoredError sqref="AE9 AE23 AE36 AE48 AE63 AE77 AE89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view="pageBreakPreview" zoomScale="90" zoomScaleNormal="100" zoomScaleSheetLayoutView="90" workbookViewId="0">
      <selection activeCell="E3" sqref="E3:E5"/>
    </sheetView>
  </sheetViews>
  <sheetFormatPr defaultColWidth="8.85546875" defaultRowHeight="15" x14ac:dyDescent="0.25"/>
  <cols>
    <col min="1" max="1" width="51.42578125" customWidth="1"/>
    <col min="2" max="2" width="13.42578125" bestFit="1" customWidth="1"/>
    <col min="4" max="4" width="18.28515625" bestFit="1" customWidth="1"/>
    <col min="5" max="5" width="16" bestFit="1" customWidth="1"/>
    <col min="6" max="6" width="48.85546875" customWidth="1"/>
  </cols>
  <sheetData>
    <row r="1" spans="1:6" ht="15.75" thickBot="1" x14ac:dyDescent="0.3"/>
    <row r="2" spans="1:6" ht="15.75" thickBot="1" x14ac:dyDescent="0.3">
      <c r="A2" s="537" t="s">
        <v>333</v>
      </c>
      <c r="B2" s="537" t="s">
        <v>334</v>
      </c>
      <c r="C2" s="537" t="s">
        <v>335</v>
      </c>
      <c r="D2" s="541" t="s">
        <v>336</v>
      </c>
      <c r="E2" s="541" t="s">
        <v>337</v>
      </c>
      <c r="F2" s="537" t="s">
        <v>338</v>
      </c>
    </row>
    <row r="3" spans="1:6" ht="38.25" x14ac:dyDescent="0.25">
      <c r="A3" s="536" t="s">
        <v>504</v>
      </c>
      <c r="B3" s="538" t="s">
        <v>339</v>
      </c>
      <c r="C3" s="538">
        <v>2</v>
      </c>
      <c r="D3" s="542">
        <v>1900</v>
      </c>
      <c r="E3" s="540">
        <f>D3*C3</f>
        <v>3800</v>
      </c>
      <c r="F3" s="654" t="s">
        <v>505</v>
      </c>
    </row>
    <row r="4" spans="1:6" ht="51" x14ac:dyDescent="0.25">
      <c r="A4" s="295" t="s">
        <v>506</v>
      </c>
      <c r="B4" s="539" t="s">
        <v>339</v>
      </c>
      <c r="C4" s="539">
        <v>8</v>
      </c>
      <c r="D4" s="543">
        <v>21000</v>
      </c>
      <c r="E4" s="540">
        <f t="shared" ref="E4:E28" si="0">D4*C4</f>
        <v>168000</v>
      </c>
      <c r="F4" s="655" t="s">
        <v>507</v>
      </c>
    </row>
    <row r="5" spans="1:6" ht="25.5" x14ac:dyDescent="0.25">
      <c r="A5" s="295" t="s">
        <v>508</v>
      </c>
      <c r="B5" s="539" t="s">
        <v>339</v>
      </c>
      <c r="C5" s="539">
        <v>2</v>
      </c>
      <c r="D5" s="543">
        <v>50000</v>
      </c>
      <c r="E5" s="540">
        <f t="shared" si="0"/>
        <v>100000</v>
      </c>
      <c r="F5" s="655" t="s">
        <v>510</v>
      </c>
    </row>
    <row r="6" spans="1:6" ht="25.5" x14ac:dyDescent="0.25">
      <c r="A6" s="295" t="s">
        <v>509</v>
      </c>
      <c r="B6" s="539" t="s">
        <v>339</v>
      </c>
      <c r="C6" s="539">
        <v>2</v>
      </c>
      <c r="D6" s="543">
        <v>28800</v>
      </c>
      <c r="E6" s="540">
        <f t="shared" si="0"/>
        <v>57600</v>
      </c>
      <c r="F6" s="655" t="s">
        <v>511</v>
      </c>
    </row>
    <row r="7" spans="1:6" x14ac:dyDescent="0.25">
      <c r="A7" s="295"/>
      <c r="B7" s="539"/>
      <c r="C7" s="539"/>
      <c r="D7" s="543"/>
      <c r="E7" s="540">
        <f t="shared" si="0"/>
        <v>0</v>
      </c>
      <c r="F7" s="535"/>
    </row>
    <row r="8" spans="1:6" x14ac:dyDescent="0.25">
      <c r="A8" s="295"/>
      <c r="B8" s="539"/>
      <c r="C8" s="539"/>
      <c r="D8" s="543"/>
      <c r="E8" s="540">
        <f t="shared" si="0"/>
        <v>0</v>
      </c>
      <c r="F8" s="535"/>
    </row>
    <row r="9" spans="1:6" x14ac:dyDescent="0.25">
      <c r="A9" s="295"/>
      <c r="B9" s="539"/>
      <c r="C9" s="539"/>
      <c r="D9" s="543"/>
      <c r="E9" s="540">
        <f t="shared" si="0"/>
        <v>0</v>
      </c>
      <c r="F9" s="535"/>
    </row>
    <row r="10" spans="1:6" x14ac:dyDescent="0.25">
      <c r="A10" s="295"/>
      <c r="B10" s="539"/>
      <c r="C10" s="539"/>
      <c r="D10" s="543"/>
      <c r="E10" s="540">
        <f t="shared" si="0"/>
        <v>0</v>
      </c>
      <c r="F10" s="535"/>
    </row>
    <row r="11" spans="1:6" x14ac:dyDescent="0.25">
      <c r="A11" s="295"/>
      <c r="B11" s="539"/>
      <c r="C11" s="539"/>
      <c r="D11" s="543"/>
      <c r="E11" s="540">
        <f t="shared" si="0"/>
        <v>0</v>
      </c>
      <c r="F11" s="535"/>
    </row>
    <row r="12" spans="1:6" x14ac:dyDescent="0.25">
      <c r="A12" s="295"/>
      <c r="B12" s="539"/>
      <c r="C12" s="539"/>
      <c r="D12" s="543"/>
      <c r="E12" s="540">
        <f t="shared" si="0"/>
        <v>0</v>
      </c>
      <c r="F12" s="535"/>
    </row>
    <row r="13" spans="1:6" x14ac:dyDescent="0.25">
      <c r="A13" s="295"/>
      <c r="B13" s="539"/>
      <c r="C13" s="539"/>
      <c r="D13" s="543"/>
      <c r="E13" s="540">
        <f t="shared" si="0"/>
        <v>0</v>
      </c>
      <c r="F13" s="535"/>
    </row>
    <row r="14" spans="1:6" x14ac:dyDescent="0.25">
      <c r="A14" s="295"/>
      <c r="B14" s="539"/>
      <c r="C14" s="539"/>
      <c r="D14" s="543"/>
      <c r="E14" s="540">
        <f t="shared" si="0"/>
        <v>0</v>
      </c>
      <c r="F14" s="535"/>
    </row>
    <row r="15" spans="1:6" x14ac:dyDescent="0.25">
      <c r="A15" s="295"/>
      <c r="B15" s="539"/>
      <c r="C15" s="539"/>
      <c r="D15" s="543"/>
      <c r="E15" s="540">
        <f t="shared" si="0"/>
        <v>0</v>
      </c>
      <c r="F15" s="535"/>
    </row>
    <row r="16" spans="1:6" x14ac:dyDescent="0.25">
      <c r="A16" s="295"/>
      <c r="B16" s="539"/>
      <c r="C16" s="539"/>
      <c r="D16" s="543"/>
      <c r="E16" s="540">
        <f t="shared" si="0"/>
        <v>0</v>
      </c>
      <c r="F16" s="535"/>
    </row>
    <row r="17" spans="1:6" x14ac:dyDescent="0.25">
      <c r="A17" s="295"/>
      <c r="B17" s="539"/>
      <c r="C17" s="539"/>
      <c r="D17" s="543"/>
      <c r="E17" s="540">
        <f t="shared" si="0"/>
        <v>0</v>
      </c>
      <c r="F17" s="535"/>
    </row>
    <row r="18" spans="1:6" x14ac:dyDescent="0.25">
      <c r="A18" s="295"/>
      <c r="B18" s="539"/>
      <c r="C18" s="539"/>
      <c r="D18" s="543"/>
      <c r="E18" s="540">
        <f t="shared" si="0"/>
        <v>0</v>
      </c>
      <c r="F18" s="535"/>
    </row>
    <row r="19" spans="1:6" x14ac:dyDescent="0.25">
      <c r="A19" s="295"/>
      <c r="B19" s="539"/>
      <c r="C19" s="539"/>
      <c r="D19" s="543"/>
      <c r="E19" s="540">
        <f t="shared" si="0"/>
        <v>0</v>
      </c>
      <c r="F19" s="535"/>
    </row>
    <row r="20" spans="1:6" x14ac:dyDescent="0.25">
      <c r="A20" s="295"/>
      <c r="B20" s="539"/>
      <c r="C20" s="539"/>
      <c r="D20" s="543"/>
      <c r="E20" s="540">
        <f t="shared" si="0"/>
        <v>0</v>
      </c>
      <c r="F20" s="535"/>
    </row>
    <row r="21" spans="1:6" x14ac:dyDescent="0.25">
      <c r="A21" s="295"/>
      <c r="B21" s="539"/>
      <c r="C21" s="539"/>
      <c r="D21" s="543"/>
      <c r="E21" s="540">
        <f t="shared" si="0"/>
        <v>0</v>
      </c>
      <c r="F21" s="535"/>
    </row>
    <row r="22" spans="1:6" x14ac:dyDescent="0.25">
      <c r="A22" s="295"/>
      <c r="B22" s="539"/>
      <c r="C22" s="539"/>
      <c r="D22" s="543"/>
      <c r="E22" s="540">
        <f t="shared" si="0"/>
        <v>0</v>
      </c>
      <c r="F22" s="535"/>
    </row>
    <row r="23" spans="1:6" x14ac:dyDescent="0.25">
      <c r="A23" s="295"/>
      <c r="B23" s="539"/>
      <c r="C23" s="539"/>
      <c r="D23" s="543"/>
      <c r="E23" s="540">
        <f t="shared" si="0"/>
        <v>0</v>
      </c>
      <c r="F23" s="535"/>
    </row>
    <row r="24" spans="1:6" x14ac:dyDescent="0.25">
      <c r="A24" s="295"/>
      <c r="B24" s="539"/>
      <c r="C24" s="539"/>
      <c r="D24" s="543"/>
      <c r="E24" s="540">
        <f t="shared" si="0"/>
        <v>0</v>
      </c>
      <c r="F24" s="535"/>
    </row>
    <row r="25" spans="1:6" x14ac:dyDescent="0.25">
      <c r="A25" s="295"/>
      <c r="B25" s="539"/>
      <c r="C25" s="539"/>
      <c r="D25" s="543"/>
      <c r="E25" s="540">
        <f t="shared" si="0"/>
        <v>0</v>
      </c>
      <c r="F25" s="535"/>
    </row>
    <row r="26" spans="1:6" x14ac:dyDescent="0.25">
      <c r="A26" s="295"/>
      <c r="B26" s="539"/>
      <c r="C26" s="539"/>
      <c r="D26" s="543"/>
      <c r="E26" s="540">
        <f t="shared" si="0"/>
        <v>0</v>
      </c>
      <c r="F26" s="535"/>
    </row>
    <row r="27" spans="1:6" x14ac:dyDescent="0.25">
      <c r="A27" s="295"/>
      <c r="B27" s="539"/>
      <c r="C27" s="539"/>
      <c r="D27" s="543"/>
      <c r="E27" s="540">
        <f t="shared" si="0"/>
        <v>0</v>
      </c>
      <c r="F27" s="535"/>
    </row>
    <row r="28" spans="1:6" x14ac:dyDescent="0.25">
      <c r="A28" s="295"/>
      <c r="B28" s="539"/>
      <c r="C28" s="539"/>
      <c r="D28" s="543"/>
      <c r="E28" s="540">
        <f t="shared" si="0"/>
        <v>0</v>
      </c>
      <c r="F28" s="535"/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7"/>
  <sheetViews>
    <sheetView view="pageBreakPreview" zoomScale="90" zoomScaleNormal="80" zoomScaleSheetLayoutView="90" workbookViewId="0">
      <selection activeCell="P4" sqref="P4"/>
    </sheetView>
  </sheetViews>
  <sheetFormatPr defaultColWidth="8.7109375" defaultRowHeight="12" x14ac:dyDescent="0.2"/>
  <cols>
    <col min="1" max="1" width="36.28515625" style="147" customWidth="1"/>
    <col min="2" max="2" width="34.7109375" style="147" customWidth="1"/>
    <col min="3" max="3" width="3.28515625" style="147" customWidth="1"/>
    <col min="4" max="24" width="3.7109375" style="147" customWidth="1"/>
    <col min="25" max="25" width="4.42578125" style="147" customWidth="1"/>
    <col min="26" max="28" width="16.42578125" style="147" customWidth="1"/>
    <col min="29" max="29" width="18.140625" style="147" customWidth="1"/>
    <col min="30" max="30" width="9" style="147" customWidth="1"/>
    <col min="31" max="31" width="9.140625" style="147" customWidth="1"/>
    <col min="32" max="32" width="9" style="147" customWidth="1"/>
    <col min="33" max="33" width="10.7109375" style="148" customWidth="1"/>
    <col min="34" max="36" width="10.7109375" style="147" customWidth="1"/>
    <col min="37" max="37" width="52.140625" style="147" customWidth="1"/>
    <col min="38" max="38" width="51.7109375" style="147" customWidth="1"/>
    <col min="39" max="42" width="8.7109375" style="147"/>
    <col min="43" max="43" width="18.85546875" style="147" customWidth="1"/>
    <col min="44" max="16384" width="8.7109375" style="147"/>
  </cols>
  <sheetData>
    <row r="1" spans="1:43" ht="26.1" customHeight="1" thickBot="1" x14ac:dyDescent="0.25">
      <c r="A1" s="764" t="s">
        <v>216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544"/>
      <c r="AA1" s="544"/>
      <c r="AB1" s="544"/>
      <c r="AC1" s="544"/>
      <c r="AD1" s="764" t="s">
        <v>214</v>
      </c>
      <c r="AE1" s="764"/>
      <c r="AF1" s="764"/>
      <c r="AG1" s="764"/>
      <c r="AH1" s="764"/>
      <c r="AI1" s="764"/>
      <c r="AJ1" s="764"/>
      <c r="AK1" s="764"/>
    </row>
    <row r="2" spans="1:43" ht="36" customHeight="1" thickBot="1" x14ac:dyDescent="0.25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9"/>
      <c r="Z2" s="765" t="s">
        <v>283</v>
      </c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7"/>
      <c r="AL2" s="756" t="s">
        <v>282</v>
      </c>
      <c r="AM2" s="757"/>
      <c r="AN2" s="757"/>
      <c r="AO2" s="757"/>
      <c r="AP2" s="757"/>
      <c r="AQ2" s="758"/>
    </row>
    <row r="3" spans="1:43" ht="36" customHeight="1" thickBot="1" x14ac:dyDescent="0.25">
      <c r="A3" s="337"/>
      <c r="B3" s="335"/>
      <c r="C3" s="336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4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4"/>
      <c r="Z3" s="756" t="s">
        <v>343</v>
      </c>
      <c r="AA3" s="757"/>
      <c r="AB3" s="757"/>
      <c r="AC3" s="757"/>
      <c r="AD3" s="756" t="s">
        <v>344</v>
      </c>
      <c r="AE3" s="757"/>
      <c r="AF3" s="757"/>
      <c r="AG3" s="757"/>
      <c r="AH3" s="757"/>
      <c r="AI3" s="757"/>
      <c r="AJ3" s="757"/>
      <c r="AK3" s="758"/>
      <c r="AL3" s="272"/>
      <c r="AM3" s="273"/>
      <c r="AN3" s="273"/>
      <c r="AO3" s="273"/>
      <c r="AP3" s="273"/>
      <c r="AQ3" s="263"/>
    </row>
    <row r="4" spans="1:43" ht="51" customHeight="1" x14ac:dyDescent="0.2">
      <c r="A4" s="337" t="s">
        <v>217</v>
      </c>
      <c r="B4" s="628" t="s">
        <v>356</v>
      </c>
      <c r="C4" s="336" t="s">
        <v>124</v>
      </c>
      <c r="D4" s="335" t="s">
        <v>125</v>
      </c>
      <c r="E4" s="335" t="s">
        <v>126</v>
      </c>
      <c r="F4" s="335" t="s">
        <v>127</v>
      </c>
      <c r="G4" s="335" t="s">
        <v>128</v>
      </c>
      <c r="H4" s="335" t="s">
        <v>129</v>
      </c>
      <c r="I4" s="335" t="s">
        <v>130</v>
      </c>
      <c r="J4" s="335" t="s">
        <v>131</v>
      </c>
      <c r="K4" s="335" t="s">
        <v>132</v>
      </c>
      <c r="L4" s="335" t="s">
        <v>133</v>
      </c>
      <c r="M4" s="335" t="s">
        <v>134</v>
      </c>
      <c r="N4" s="334" t="s">
        <v>135</v>
      </c>
      <c r="O4" s="335" t="s">
        <v>136</v>
      </c>
      <c r="P4" s="335" t="s">
        <v>137</v>
      </c>
      <c r="Q4" s="335" t="s">
        <v>138</v>
      </c>
      <c r="R4" s="335" t="s">
        <v>139</v>
      </c>
      <c r="S4" s="335" t="s">
        <v>140</v>
      </c>
      <c r="T4" s="335" t="s">
        <v>141</v>
      </c>
      <c r="U4" s="335" t="s">
        <v>142</v>
      </c>
      <c r="V4" s="335" t="s">
        <v>143</v>
      </c>
      <c r="W4" s="335" t="s">
        <v>144</v>
      </c>
      <c r="X4" s="335" t="s">
        <v>145</v>
      </c>
      <c r="Y4" s="334" t="s">
        <v>146</v>
      </c>
      <c r="Z4" s="268" t="s">
        <v>345</v>
      </c>
      <c r="AA4" s="266" t="s">
        <v>346</v>
      </c>
      <c r="AB4" s="266" t="s">
        <v>347</v>
      </c>
      <c r="AC4" s="266" t="s">
        <v>348</v>
      </c>
      <c r="AD4" s="270" t="s">
        <v>208</v>
      </c>
      <c r="AE4" s="271" t="s">
        <v>209</v>
      </c>
      <c r="AF4" s="271" t="s">
        <v>210</v>
      </c>
      <c r="AG4" s="263" t="s">
        <v>213</v>
      </c>
      <c r="AH4" s="263" t="s">
        <v>212</v>
      </c>
      <c r="AI4" s="263" t="s">
        <v>161</v>
      </c>
      <c r="AJ4" s="759" t="s">
        <v>215</v>
      </c>
      <c r="AK4" s="606" t="s">
        <v>218</v>
      </c>
      <c r="AL4" s="606" t="s">
        <v>281</v>
      </c>
      <c r="AM4" s="270" t="s">
        <v>208</v>
      </c>
      <c r="AN4" s="271" t="s">
        <v>209</v>
      </c>
      <c r="AO4" s="271" t="s">
        <v>210</v>
      </c>
      <c r="AP4" s="263" t="s">
        <v>213</v>
      </c>
      <c r="AQ4" s="762" t="s">
        <v>280</v>
      </c>
    </row>
    <row r="5" spans="1:43" ht="8.25" customHeight="1" thickBot="1" x14ac:dyDescent="0.25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3"/>
      <c r="Z5" s="152"/>
      <c r="AA5" s="151"/>
      <c r="AB5" s="151"/>
      <c r="AC5" s="151"/>
      <c r="AD5" s="272"/>
      <c r="AE5" s="273"/>
      <c r="AF5" s="273"/>
      <c r="AG5" s="280"/>
      <c r="AH5" s="280"/>
      <c r="AI5" s="280"/>
      <c r="AJ5" s="760"/>
      <c r="AK5" s="333"/>
      <c r="AL5" s="282"/>
      <c r="AM5" s="272"/>
      <c r="AN5" s="273"/>
      <c r="AO5" s="273"/>
      <c r="AP5" s="280"/>
      <c r="AQ5" s="763"/>
    </row>
    <row r="6" spans="1:43" ht="15" customHeight="1" x14ac:dyDescent="0.2">
      <c r="A6" s="264" t="s">
        <v>211</v>
      </c>
      <c r="B6" s="264"/>
      <c r="C6" s="344"/>
      <c r="D6" s="345">
        <v>1</v>
      </c>
      <c r="E6" s="345">
        <v>1</v>
      </c>
      <c r="F6" s="345">
        <v>1</v>
      </c>
      <c r="G6" s="345">
        <v>1</v>
      </c>
      <c r="H6" s="345">
        <v>1</v>
      </c>
      <c r="I6" s="345">
        <v>1</v>
      </c>
      <c r="J6" s="345">
        <v>1</v>
      </c>
      <c r="K6" s="345">
        <v>1</v>
      </c>
      <c r="L6" s="345">
        <v>1</v>
      </c>
      <c r="M6" s="345">
        <v>1</v>
      </c>
      <c r="N6" s="345">
        <v>1</v>
      </c>
      <c r="O6" s="345">
        <v>1</v>
      </c>
      <c r="P6" s="345">
        <v>1</v>
      </c>
      <c r="Q6" s="345">
        <v>1</v>
      </c>
      <c r="R6" s="345">
        <v>1</v>
      </c>
      <c r="S6" s="345">
        <v>1</v>
      </c>
      <c r="T6" s="345">
        <v>1</v>
      </c>
      <c r="U6" s="345">
        <v>1</v>
      </c>
      <c r="V6" s="345">
        <v>1</v>
      </c>
      <c r="W6" s="345">
        <v>1</v>
      </c>
      <c r="X6" s="345">
        <v>1</v>
      </c>
      <c r="Y6" s="345">
        <v>1</v>
      </c>
      <c r="Z6" s="608"/>
      <c r="AA6" s="609"/>
      <c r="AB6" s="609"/>
      <c r="AC6" s="610"/>
      <c r="AD6" s="571"/>
      <c r="AE6" s="290"/>
      <c r="AF6" s="290"/>
      <c r="AG6" s="561">
        <f t="shared" ref="AG6:AG13" si="0">AD6*AF6+AC6</f>
        <v>0</v>
      </c>
      <c r="AH6" s="561">
        <f t="shared" ref="AH6:AH13" si="1">AE6*AF6+AC6</f>
        <v>0</v>
      </c>
      <c r="AI6" s="561">
        <f t="shared" ref="AI6:AI13" si="2">AH6-AG6</f>
        <v>0</v>
      </c>
      <c r="AJ6" s="760"/>
      <c r="AK6" s="573"/>
      <c r="AL6" s="570"/>
      <c r="AM6" s="571"/>
      <c r="AN6" s="290"/>
      <c r="AO6" s="290"/>
      <c r="AP6" s="561">
        <f t="shared" ref="AP6:AP13" si="3">AM6*AO6</f>
        <v>0</v>
      </c>
      <c r="AQ6" s="573"/>
    </row>
    <row r="7" spans="1:43" ht="15" customHeight="1" x14ac:dyDescent="0.2">
      <c r="A7" s="264" t="s">
        <v>166</v>
      </c>
      <c r="B7" s="264"/>
      <c r="C7" s="347"/>
      <c r="D7" s="348">
        <v>1</v>
      </c>
      <c r="E7" s="348">
        <v>1</v>
      </c>
      <c r="F7" s="348">
        <v>1</v>
      </c>
      <c r="G7" s="348">
        <v>1</v>
      </c>
      <c r="H7" s="348">
        <v>1</v>
      </c>
      <c r="I7" s="348">
        <v>1</v>
      </c>
      <c r="J7" s="348">
        <v>1</v>
      </c>
      <c r="K7" s="348">
        <v>1</v>
      </c>
      <c r="L7" s="348">
        <v>1</v>
      </c>
      <c r="M7" s="348">
        <v>1</v>
      </c>
      <c r="N7" s="348">
        <v>1</v>
      </c>
      <c r="O7" s="348">
        <v>1</v>
      </c>
      <c r="P7" s="348">
        <v>1</v>
      </c>
      <c r="Q7" s="348">
        <v>1</v>
      </c>
      <c r="R7" s="348">
        <v>1</v>
      </c>
      <c r="S7" s="348">
        <v>1</v>
      </c>
      <c r="T7" s="348">
        <v>1</v>
      </c>
      <c r="U7" s="348">
        <v>1</v>
      </c>
      <c r="V7" s="348">
        <v>1</v>
      </c>
      <c r="W7" s="348"/>
      <c r="X7" s="348"/>
      <c r="Y7" s="349"/>
      <c r="Z7" s="611"/>
      <c r="AA7" s="612"/>
      <c r="AB7" s="612"/>
      <c r="AC7" s="613"/>
      <c r="AD7" s="571"/>
      <c r="AE7" s="290"/>
      <c r="AF7" s="290"/>
      <c r="AG7" s="561">
        <f t="shared" si="0"/>
        <v>0</v>
      </c>
      <c r="AH7" s="561">
        <f t="shared" si="1"/>
        <v>0</v>
      </c>
      <c r="AI7" s="561">
        <f t="shared" si="2"/>
        <v>0</v>
      </c>
      <c r="AJ7" s="760"/>
      <c r="AK7" s="574"/>
      <c r="AL7" s="571"/>
      <c r="AM7" s="571"/>
      <c r="AN7" s="290"/>
      <c r="AO7" s="290"/>
      <c r="AP7" s="561">
        <f t="shared" si="3"/>
        <v>0</v>
      </c>
      <c r="AQ7" s="574"/>
    </row>
    <row r="8" spans="1:43" ht="15" customHeight="1" x14ac:dyDescent="0.2">
      <c r="A8" s="264" t="s">
        <v>167</v>
      </c>
      <c r="B8" s="264"/>
      <c r="C8" s="347"/>
      <c r="D8" s="348">
        <v>1</v>
      </c>
      <c r="E8" s="348">
        <v>1</v>
      </c>
      <c r="F8" s="348">
        <v>1</v>
      </c>
      <c r="G8" s="348">
        <v>1</v>
      </c>
      <c r="H8" s="348">
        <v>1</v>
      </c>
      <c r="I8" s="348">
        <v>1</v>
      </c>
      <c r="J8" s="348">
        <v>1</v>
      </c>
      <c r="K8" s="348">
        <v>1</v>
      </c>
      <c r="L8" s="348">
        <v>1</v>
      </c>
      <c r="M8" s="348">
        <v>1</v>
      </c>
      <c r="N8" s="348">
        <v>1</v>
      </c>
      <c r="O8" s="348">
        <v>1</v>
      </c>
      <c r="P8" s="348">
        <v>1</v>
      </c>
      <c r="Q8" s="348">
        <v>1</v>
      </c>
      <c r="R8" s="348">
        <v>1</v>
      </c>
      <c r="S8" s="348">
        <v>1</v>
      </c>
      <c r="T8" s="348"/>
      <c r="U8" s="348"/>
      <c r="V8" s="348"/>
      <c r="W8" s="348"/>
      <c r="X8" s="348"/>
      <c r="Y8" s="349"/>
      <c r="Z8" s="611"/>
      <c r="AA8" s="612"/>
      <c r="AB8" s="612"/>
      <c r="AC8" s="613"/>
      <c r="AD8" s="571"/>
      <c r="AE8" s="290"/>
      <c r="AF8" s="290"/>
      <c r="AG8" s="561">
        <f t="shared" si="0"/>
        <v>0</v>
      </c>
      <c r="AH8" s="561">
        <f t="shared" si="1"/>
        <v>0</v>
      </c>
      <c r="AI8" s="561">
        <f t="shared" si="2"/>
        <v>0</v>
      </c>
      <c r="AJ8" s="760"/>
      <c r="AK8" s="574"/>
      <c r="AL8" s="571"/>
      <c r="AM8" s="571"/>
      <c r="AN8" s="290"/>
      <c r="AO8" s="290"/>
      <c r="AP8" s="561">
        <f t="shared" si="3"/>
        <v>0</v>
      </c>
      <c r="AQ8" s="574"/>
    </row>
    <row r="9" spans="1:43" ht="15" customHeight="1" x14ac:dyDescent="0.2">
      <c r="A9" s="264" t="s">
        <v>168</v>
      </c>
      <c r="B9" s="264"/>
      <c r="C9" s="347"/>
      <c r="D9" s="345">
        <v>1</v>
      </c>
      <c r="E9" s="345">
        <v>1</v>
      </c>
      <c r="F9" s="345">
        <v>1</v>
      </c>
      <c r="G9" s="345">
        <v>1</v>
      </c>
      <c r="H9" s="345">
        <v>1</v>
      </c>
      <c r="I9" s="345">
        <v>1</v>
      </c>
      <c r="J9" s="345">
        <v>1</v>
      </c>
      <c r="K9" s="345">
        <v>1</v>
      </c>
      <c r="L9" s="345">
        <v>1</v>
      </c>
      <c r="M9" s="345">
        <v>1</v>
      </c>
      <c r="N9" s="345">
        <v>1</v>
      </c>
      <c r="O9" s="345">
        <v>1</v>
      </c>
      <c r="P9" s="345">
        <v>1</v>
      </c>
      <c r="Q9" s="345">
        <v>1</v>
      </c>
      <c r="R9" s="345">
        <v>1</v>
      </c>
      <c r="S9" s="345">
        <v>1</v>
      </c>
      <c r="T9" s="345">
        <v>1</v>
      </c>
      <c r="U9" s="345">
        <v>1</v>
      </c>
      <c r="V9" s="345">
        <v>1</v>
      </c>
      <c r="W9" s="345">
        <v>1</v>
      </c>
      <c r="X9" s="345">
        <v>1</v>
      </c>
      <c r="Y9" s="345">
        <v>1</v>
      </c>
      <c r="Z9" s="611"/>
      <c r="AA9" s="612"/>
      <c r="AB9" s="612"/>
      <c r="AC9" s="613"/>
      <c r="AD9" s="571"/>
      <c r="AE9" s="290"/>
      <c r="AF9" s="290"/>
      <c r="AG9" s="561">
        <f t="shared" si="0"/>
        <v>0</v>
      </c>
      <c r="AH9" s="561">
        <f t="shared" si="1"/>
        <v>0</v>
      </c>
      <c r="AI9" s="561">
        <f t="shared" si="2"/>
        <v>0</v>
      </c>
      <c r="AJ9" s="760"/>
      <c r="AK9" s="574"/>
      <c r="AL9" s="571"/>
      <c r="AM9" s="571"/>
      <c r="AN9" s="290"/>
      <c r="AO9" s="290"/>
      <c r="AP9" s="561">
        <f t="shared" si="3"/>
        <v>0</v>
      </c>
      <c r="AQ9" s="574"/>
    </row>
    <row r="10" spans="1:43" ht="15" customHeight="1" thickBot="1" x14ac:dyDescent="0.25">
      <c r="A10" s="264" t="s">
        <v>169</v>
      </c>
      <c r="B10" s="264"/>
      <c r="C10" s="347"/>
      <c r="D10" s="345">
        <v>1</v>
      </c>
      <c r="E10" s="345">
        <v>1</v>
      </c>
      <c r="F10" s="345">
        <v>1</v>
      </c>
      <c r="G10" s="345">
        <v>1</v>
      </c>
      <c r="H10" s="345">
        <v>1</v>
      </c>
      <c r="I10" s="345">
        <v>1</v>
      </c>
      <c r="J10" s="345">
        <v>1</v>
      </c>
      <c r="K10" s="345">
        <v>1</v>
      </c>
      <c r="L10" s="345">
        <v>1</v>
      </c>
      <c r="M10" s="345">
        <v>1</v>
      </c>
      <c r="N10" s="345">
        <v>1</v>
      </c>
      <c r="O10" s="345">
        <v>1</v>
      </c>
      <c r="P10" s="345">
        <v>1</v>
      </c>
      <c r="Q10" s="345">
        <v>1</v>
      </c>
      <c r="R10" s="345">
        <v>1</v>
      </c>
      <c r="S10" s="345">
        <v>1</v>
      </c>
      <c r="T10" s="345">
        <v>1</v>
      </c>
      <c r="U10" s="345">
        <v>1</v>
      </c>
      <c r="V10" s="345">
        <v>1</v>
      </c>
      <c r="W10" s="345">
        <v>1</v>
      </c>
      <c r="X10" s="345">
        <v>1</v>
      </c>
      <c r="Y10" s="349"/>
      <c r="Z10" s="611"/>
      <c r="AA10" s="612"/>
      <c r="AB10" s="612"/>
      <c r="AC10" s="613"/>
      <c r="AD10" s="571"/>
      <c r="AE10" s="290"/>
      <c r="AF10" s="290"/>
      <c r="AG10" s="561">
        <f t="shared" si="0"/>
        <v>0</v>
      </c>
      <c r="AH10" s="561">
        <f t="shared" si="1"/>
        <v>0</v>
      </c>
      <c r="AI10" s="561">
        <f t="shared" si="2"/>
        <v>0</v>
      </c>
      <c r="AJ10" s="760"/>
      <c r="AK10" s="574"/>
      <c r="AL10" s="571"/>
      <c r="AM10" s="571"/>
      <c r="AN10" s="290"/>
      <c r="AO10" s="290"/>
      <c r="AP10" s="561">
        <f t="shared" si="3"/>
        <v>0</v>
      </c>
      <c r="AQ10" s="574"/>
    </row>
    <row r="11" spans="1:43" ht="15" customHeight="1" x14ac:dyDescent="0.2">
      <c r="A11" s="264" t="s">
        <v>502</v>
      </c>
      <c r="B11" s="264"/>
      <c r="C11" s="344">
        <v>1</v>
      </c>
      <c r="D11" s="348">
        <v>1</v>
      </c>
      <c r="E11" s="348">
        <v>1</v>
      </c>
      <c r="F11" s="348">
        <v>1</v>
      </c>
      <c r="G11" s="348">
        <v>1</v>
      </c>
      <c r="H11" s="348">
        <v>1</v>
      </c>
      <c r="I11" s="348">
        <v>1</v>
      </c>
      <c r="J11" s="348">
        <v>1</v>
      </c>
      <c r="K11" s="348">
        <v>1</v>
      </c>
      <c r="L11" s="348">
        <v>1</v>
      </c>
      <c r="M11" s="348">
        <v>1</v>
      </c>
      <c r="N11" s="348">
        <v>1</v>
      </c>
      <c r="O11" s="348">
        <v>1</v>
      </c>
      <c r="P11" s="348">
        <v>1</v>
      </c>
      <c r="Q11" s="348">
        <v>1</v>
      </c>
      <c r="R11" s="348">
        <v>1</v>
      </c>
      <c r="S11" s="348">
        <v>1</v>
      </c>
      <c r="T11" s="345"/>
      <c r="U11" s="345"/>
      <c r="V11" s="345"/>
      <c r="W11" s="345"/>
      <c r="X11" s="345"/>
      <c r="Y11" s="346"/>
      <c r="Z11" s="608"/>
      <c r="AA11" s="609"/>
      <c r="AB11" s="609"/>
      <c r="AC11" s="610"/>
      <c r="AD11" s="571"/>
      <c r="AE11" s="290"/>
      <c r="AF11" s="290"/>
      <c r="AG11" s="561">
        <f t="shared" ref="AG11:AG12" si="4">AD11*AF11+AC11</f>
        <v>0</v>
      </c>
      <c r="AH11" s="561">
        <f t="shared" ref="AH11:AH12" si="5">AE11*AF11+AC11</f>
        <v>0</v>
      </c>
      <c r="AI11" s="561">
        <f t="shared" ref="AI11:AI12" si="6">AH11-AG11</f>
        <v>0</v>
      </c>
      <c r="AJ11" s="760"/>
      <c r="AK11" s="573"/>
      <c r="AL11" s="570"/>
      <c r="AM11" s="571"/>
      <c r="AN11" s="290"/>
      <c r="AO11" s="290"/>
      <c r="AP11" s="561">
        <f t="shared" ref="AP11:AP12" si="7">AM11*AO11</f>
        <v>0</v>
      </c>
      <c r="AQ11" s="573"/>
    </row>
    <row r="12" spans="1:43" ht="15" customHeight="1" x14ac:dyDescent="0.2">
      <c r="A12" s="264" t="s">
        <v>488</v>
      </c>
      <c r="B12" s="264"/>
      <c r="C12" s="344">
        <v>1</v>
      </c>
      <c r="D12" s="348">
        <v>1</v>
      </c>
      <c r="E12" s="348">
        <v>1</v>
      </c>
      <c r="F12" s="348">
        <v>1</v>
      </c>
      <c r="G12" s="348">
        <v>1</v>
      </c>
      <c r="H12" s="348">
        <v>1</v>
      </c>
      <c r="I12" s="348">
        <v>1</v>
      </c>
      <c r="J12" s="348">
        <v>1</v>
      </c>
      <c r="K12" s="348">
        <v>1</v>
      </c>
      <c r="L12" s="348">
        <v>1</v>
      </c>
      <c r="M12" s="348">
        <v>1</v>
      </c>
      <c r="N12" s="348">
        <v>1</v>
      </c>
      <c r="O12" s="348">
        <v>1</v>
      </c>
      <c r="P12" s="348">
        <v>1</v>
      </c>
      <c r="Q12" s="348">
        <v>1</v>
      </c>
      <c r="R12" s="348">
        <v>1</v>
      </c>
      <c r="S12" s="348">
        <v>1</v>
      </c>
      <c r="T12" s="348">
        <v>1</v>
      </c>
      <c r="U12" s="348"/>
      <c r="V12" s="348"/>
      <c r="W12" s="348"/>
      <c r="X12" s="348"/>
      <c r="Y12" s="349"/>
      <c r="Z12" s="611"/>
      <c r="AA12" s="612"/>
      <c r="AB12" s="612"/>
      <c r="AC12" s="613"/>
      <c r="AD12" s="571"/>
      <c r="AE12" s="290"/>
      <c r="AF12" s="290"/>
      <c r="AG12" s="561">
        <f t="shared" si="4"/>
        <v>0</v>
      </c>
      <c r="AH12" s="561">
        <f t="shared" si="5"/>
        <v>0</v>
      </c>
      <c r="AI12" s="561">
        <f t="shared" si="6"/>
        <v>0</v>
      </c>
      <c r="AJ12" s="760"/>
      <c r="AK12" s="574"/>
      <c r="AL12" s="571"/>
      <c r="AM12" s="571"/>
      <c r="AN12" s="290"/>
      <c r="AO12" s="290"/>
      <c r="AP12" s="561">
        <f t="shared" si="7"/>
        <v>0</v>
      </c>
      <c r="AQ12" s="574"/>
    </row>
    <row r="13" spans="1:43" ht="15.95" customHeight="1" thickBot="1" x14ac:dyDescent="0.25">
      <c r="A13" s="265" t="s">
        <v>159</v>
      </c>
      <c r="B13" s="265"/>
      <c r="C13" s="350">
        <v>1</v>
      </c>
      <c r="D13" s="351">
        <v>1</v>
      </c>
      <c r="E13" s="351">
        <v>1</v>
      </c>
      <c r="F13" s="351">
        <v>1</v>
      </c>
      <c r="G13" s="351">
        <v>1</v>
      </c>
      <c r="H13" s="351">
        <v>1</v>
      </c>
      <c r="I13" s="351">
        <v>1</v>
      </c>
      <c r="J13" s="351">
        <v>1</v>
      </c>
      <c r="K13" s="351">
        <v>1</v>
      </c>
      <c r="L13" s="351">
        <v>1</v>
      </c>
      <c r="M13" s="351">
        <v>1</v>
      </c>
      <c r="N13" s="351">
        <v>1</v>
      </c>
      <c r="O13" s="351">
        <v>1</v>
      </c>
      <c r="P13" s="351">
        <v>1</v>
      </c>
      <c r="Q13" s="351">
        <v>1</v>
      </c>
      <c r="R13" s="351">
        <v>1</v>
      </c>
      <c r="S13" s="351">
        <v>1</v>
      </c>
      <c r="T13" s="351">
        <v>1</v>
      </c>
      <c r="U13" s="351">
        <v>1</v>
      </c>
      <c r="V13" s="351">
        <v>1</v>
      </c>
      <c r="W13" s="351">
        <v>1</v>
      </c>
      <c r="X13" s="351">
        <v>1</v>
      </c>
      <c r="Y13" s="351">
        <v>1</v>
      </c>
      <c r="Z13" s="614"/>
      <c r="AA13" s="615"/>
      <c r="AB13" s="615"/>
      <c r="AC13" s="616"/>
      <c r="AD13" s="572"/>
      <c r="AE13" s="291"/>
      <c r="AF13" s="291"/>
      <c r="AG13" s="607">
        <f t="shared" si="0"/>
        <v>0</v>
      </c>
      <c r="AH13" s="607">
        <f t="shared" si="1"/>
        <v>0</v>
      </c>
      <c r="AI13" s="607">
        <f t="shared" si="2"/>
        <v>0</v>
      </c>
      <c r="AJ13" s="761"/>
      <c r="AK13" s="575"/>
      <c r="AL13" s="572"/>
      <c r="AM13" s="572"/>
      <c r="AN13" s="291"/>
      <c r="AO13" s="291"/>
      <c r="AP13" s="561">
        <f t="shared" si="3"/>
        <v>0</v>
      </c>
      <c r="AQ13" s="575"/>
    </row>
    <row r="14" spans="1:43" ht="12.75" thickBot="1" x14ac:dyDescent="0.25">
      <c r="A14" s="258" t="s">
        <v>160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605"/>
      <c r="AA14" s="605"/>
      <c r="AB14" s="605"/>
      <c r="AC14" s="605">
        <f t="shared" ref="AC14:AI14" si="8">SUM(AC6:AC13)</f>
        <v>0</v>
      </c>
      <c r="AD14" s="276">
        <f t="shared" si="8"/>
        <v>0</v>
      </c>
      <c r="AE14" s="276">
        <f t="shared" si="8"/>
        <v>0</v>
      </c>
      <c r="AF14" s="276">
        <f t="shared" si="8"/>
        <v>0</v>
      </c>
      <c r="AG14" s="281">
        <f t="shared" si="8"/>
        <v>0</v>
      </c>
      <c r="AH14" s="281">
        <f t="shared" si="8"/>
        <v>0</v>
      </c>
      <c r="AI14" s="281">
        <f t="shared" si="8"/>
        <v>0</v>
      </c>
      <c r="AJ14" s="332">
        <v>0</v>
      </c>
      <c r="AK14" s="331"/>
      <c r="AL14" s="276"/>
      <c r="AM14" s="276">
        <f>SUM(AM6:AM13)</f>
        <v>0</v>
      </c>
      <c r="AN14" s="276">
        <f>SUM(AN6:AN13)</f>
        <v>0</v>
      </c>
      <c r="AO14" s="276">
        <f>SUM(AO6:AO13)</f>
        <v>0</v>
      </c>
      <c r="AP14" s="281">
        <f>SUM(AP6:AP13)</f>
        <v>0</v>
      </c>
      <c r="AQ14" s="281"/>
    </row>
    <row r="15" spans="1:43" x14ac:dyDescent="0.2">
      <c r="AH15" s="159"/>
      <c r="AI15" s="159"/>
      <c r="AJ15" s="159"/>
    </row>
    <row r="17" spans="33:33" ht="15.75" x14ac:dyDescent="0.25">
      <c r="AG17" s="160"/>
    </row>
  </sheetData>
  <mergeCells count="8">
    <mergeCell ref="AL2:AQ2"/>
    <mergeCell ref="AJ4:AJ13"/>
    <mergeCell ref="AQ4:AQ5"/>
    <mergeCell ref="A1:Y1"/>
    <mergeCell ref="AD1:AK1"/>
    <mergeCell ref="Z2:AK2"/>
    <mergeCell ref="Z3:AC3"/>
    <mergeCell ref="AD3:AK3"/>
  </mergeCells>
  <phoneticPr fontId="73" type="noConversion"/>
  <conditionalFormatting sqref="C13:AC13 C6:AC10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T11:AC12 C11:C12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D11:S12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zoomScale="60" zoomScaleNormal="80" workbookViewId="0">
      <selection activeCell="B13" sqref="B13"/>
    </sheetView>
  </sheetViews>
  <sheetFormatPr defaultColWidth="8.85546875" defaultRowHeight="15" x14ac:dyDescent="0.25"/>
  <cols>
    <col min="1" max="1" width="32.28515625" style="4" customWidth="1"/>
    <col min="2" max="2" width="66.7109375" style="4" customWidth="1"/>
    <col min="3" max="3" width="14.28515625" style="6" customWidth="1"/>
    <col min="4" max="4" width="23.42578125" style="4" customWidth="1"/>
    <col min="5" max="16384" width="8.85546875" style="4"/>
  </cols>
  <sheetData>
    <row r="1" spans="1:4" ht="18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">
      <c r="A2" s="512" t="s">
        <v>3</v>
      </c>
      <c r="B2" s="513" t="s">
        <v>4</v>
      </c>
      <c r="C2" s="514" t="s">
        <v>11</v>
      </c>
      <c r="D2" s="212">
        <v>10</v>
      </c>
    </row>
    <row r="3" spans="1:4" ht="41.45" customHeight="1" x14ac:dyDescent="0.25">
      <c r="A3" s="776" t="s">
        <v>5</v>
      </c>
      <c r="B3" s="787" t="s">
        <v>14</v>
      </c>
      <c r="C3" s="789" t="s">
        <v>12</v>
      </c>
      <c r="D3" s="778">
        <v>0.04</v>
      </c>
    </row>
    <row r="4" spans="1:4" ht="63" customHeight="1" thickBot="1" x14ac:dyDescent="0.3">
      <c r="A4" s="777"/>
      <c r="B4" s="788"/>
      <c r="C4" s="790"/>
      <c r="D4" s="779"/>
    </row>
    <row r="5" spans="1:4" ht="49.5" x14ac:dyDescent="0.25">
      <c r="A5" s="776" t="s">
        <v>6</v>
      </c>
      <c r="B5" s="515" t="s">
        <v>7</v>
      </c>
      <c r="C5" s="789" t="s">
        <v>12</v>
      </c>
      <c r="D5" s="780">
        <v>0.05</v>
      </c>
    </row>
    <row r="6" spans="1:4" ht="50.25" thickBot="1" x14ac:dyDescent="0.3">
      <c r="A6" s="777"/>
      <c r="B6" s="513" t="s">
        <v>8</v>
      </c>
      <c r="C6" s="790"/>
      <c r="D6" s="781"/>
    </row>
    <row r="7" spans="1:4" ht="33.75" thickBot="1" x14ac:dyDescent="0.3">
      <c r="A7" s="516" t="s">
        <v>187</v>
      </c>
      <c r="B7" s="517" t="s">
        <v>325</v>
      </c>
      <c r="C7" s="518" t="s">
        <v>13</v>
      </c>
      <c r="D7" s="211">
        <v>1373</v>
      </c>
    </row>
    <row r="8" spans="1:4" ht="15" customHeight="1" x14ac:dyDescent="0.25">
      <c r="A8" s="782" t="s">
        <v>9</v>
      </c>
      <c r="B8" s="772" t="s">
        <v>330</v>
      </c>
      <c r="C8" s="791" t="s">
        <v>15</v>
      </c>
      <c r="D8" s="784">
        <f>$D$7*1.352/(D12/12)</f>
        <v>11.379592337164752</v>
      </c>
    </row>
    <row r="9" spans="1:4" ht="57" customHeight="1" thickBot="1" x14ac:dyDescent="0.3">
      <c r="A9" s="783"/>
      <c r="B9" s="786"/>
      <c r="C9" s="792"/>
      <c r="D9" s="785"/>
    </row>
    <row r="10" spans="1:4" x14ac:dyDescent="0.25">
      <c r="A10" s="770" t="s">
        <v>188</v>
      </c>
      <c r="B10" s="772" t="s">
        <v>326</v>
      </c>
      <c r="C10" s="768" t="s">
        <v>15</v>
      </c>
      <c r="D10" s="774">
        <v>5.55</v>
      </c>
    </row>
    <row r="11" spans="1:4" ht="20.25" customHeight="1" thickBot="1" x14ac:dyDescent="0.3">
      <c r="A11" s="771"/>
      <c r="B11" s="773"/>
      <c r="C11" s="769"/>
      <c r="D11" s="775"/>
    </row>
    <row r="12" spans="1:4" ht="72" customHeight="1" thickBot="1" x14ac:dyDescent="0.3">
      <c r="A12" s="519" t="s">
        <v>327</v>
      </c>
      <c r="B12" s="517" t="s">
        <v>332</v>
      </c>
      <c r="C12" s="520" t="s">
        <v>328</v>
      </c>
      <c r="D12" s="522">
        <v>1957.5</v>
      </c>
    </row>
    <row r="13" spans="1:4" ht="72" customHeight="1" thickBot="1" x14ac:dyDescent="0.3">
      <c r="A13" s="519" t="s">
        <v>329</v>
      </c>
      <c r="B13" s="517" t="s">
        <v>331</v>
      </c>
      <c r="C13" s="520" t="s">
        <v>328</v>
      </c>
      <c r="D13" s="521">
        <v>2088</v>
      </c>
    </row>
    <row r="14" spans="1:4" ht="21" customHeight="1" thickBot="1" x14ac:dyDescent="0.3">
      <c r="A14" s="519" t="s">
        <v>25</v>
      </c>
      <c r="B14" s="519" t="s">
        <v>114</v>
      </c>
      <c r="C14" s="520" t="s">
        <v>11</v>
      </c>
      <c r="D14" s="109">
        <v>2019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topLeftCell="A87" zoomScaleNormal="60" zoomScaleSheetLayoutView="303" workbookViewId="0">
      <selection activeCell="AE242" sqref="AE242"/>
    </sheetView>
  </sheetViews>
  <sheetFormatPr defaultColWidth="8.85546875" defaultRowHeight="15" x14ac:dyDescent="0.25"/>
  <sheetData>
    <row r="1" spans="1:20" x14ac:dyDescent="0.25">
      <c r="A1" t="s">
        <v>233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x14ac:dyDescent="0.25">
      <c r="A2" s="633" t="s">
        <v>370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x14ac:dyDescent="0.25">
      <c r="A3" s="308" t="s">
        <v>234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9" t="s">
        <v>173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DK70"/>
  <sheetViews>
    <sheetView view="pageBreakPreview" zoomScale="140" zoomScaleNormal="80" zoomScaleSheetLayoutView="50" workbookViewId="0">
      <selection activeCell="F12" sqref="F12"/>
    </sheetView>
  </sheetViews>
  <sheetFormatPr defaultColWidth="6.28515625" defaultRowHeight="15" x14ac:dyDescent="0.25"/>
  <cols>
    <col min="1" max="1" width="25.42578125" customWidth="1"/>
    <col min="2" max="2" width="18.7109375" customWidth="1"/>
    <col min="3" max="7" width="6.28515625" style="307"/>
    <col min="8" max="8" width="9.42578125" style="307" customWidth="1"/>
    <col min="9" max="115" width="6.28515625" style="307"/>
  </cols>
  <sheetData>
    <row r="1" spans="1:115" ht="15.75" thickBot="1" x14ac:dyDescent="0.3"/>
    <row r="2" spans="1:115" s="639" customFormat="1" ht="132.94999999999999" customHeight="1" thickBot="1" x14ac:dyDescent="0.3">
      <c r="A2" s="632" t="s">
        <v>235</v>
      </c>
      <c r="B2" s="634" t="s">
        <v>370</v>
      </c>
      <c r="C2" s="635" t="s">
        <v>372</v>
      </c>
      <c r="D2" s="635" t="s">
        <v>373</v>
      </c>
      <c r="E2" s="635" t="s">
        <v>374</v>
      </c>
      <c r="F2" s="636" t="s">
        <v>375</v>
      </c>
      <c r="G2" s="636" t="s">
        <v>376</v>
      </c>
      <c r="H2" s="634" t="s">
        <v>371</v>
      </c>
      <c r="I2" s="637" t="s">
        <v>377</v>
      </c>
      <c r="J2" s="637" t="s">
        <v>378</v>
      </c>
      <c r="K2" s="637" t="s">
        <v>379</v>
      </c>
      <c r="L2" s="637" t="s">
        <v>380</v>
      </c>
      <c r="M2" s="637" t="s">
        <v>381</v>
      </c>
      <c r="N2" s="637" t="s">
        <v>382</v>
      </c>
      <c r="O2" s="637" t="s">
        <v>383</v>
      </c>
      <c r="P2" s="637" t="s">
        <v>384</v>
      </c>
      <c r="Q2" s="637" t="s">
        <v>385</v>
      </c>
      <c r="R2" s="637" t="s">
        <v>386</v>
      </c>
      <c r="S2" s="637" t="s">
        <v>387</v>
      </c>
      <c r="T2" s="637" t="s">
        <v>388</v>
      </c>
      <c r="U2" s="637" t="s">
        <v>389</v>
      </c>
      <c r="V2" s="637" t="s">
        <v>390</v>
      </c>
      <c r="W2" s="637" t="s">
        <v>391</v>
      </c>
      <c r="X2" s="638" t="s">
        <v>381</v>
      </c>
      <c r="Y2" s="634" t="s">
        <v>392</v>
      </c>
      <c r="Z2" s="637" t="s">
        <v>393</v>
      </c>
      <c r="AA2" s="637" t="s">
        <v>394</v>
      </c>
      <c r="AB2" s="637" t="s">
        <v>395</v>
      </c>
      <c r="AC2" s="634" t="s">
        <v>396</v>
      </c>
      <c r="AD2" s="637" t="s">
        <v>397</v>
      </c>
      <c r="AE2" s="637" t="s">
        <v>398</v>
      </c>
      <c r="AF2" s="637" t="s">
        <v>399</v>
      </c>
      <c r="AG2" s="637" t="s">
        <v>400</v>
      </c>
      <c r="AH2" s="637" t="s">
        <v>401</v>
      </c>
      <c r="AI2" s="637" t="s">
        <v>402</v>
      </c>
      <c r="AJ2" s="637" t="s">
        <v>403</v>
      </c>
      <c r="AK2" s="637" t="s">
        <v>372</v>
      </c>
      <c r="AL2" s="637" t="s">
        <v>404</v>
      </c>
      <c r="AM2" s="638" t="s">
        <v>375</v>
      </c>
      <c r="AN2" s="634" t="s">
        <v>405</v>
      </c>
      <c r="AO2" s="637" t="s">
        <v>406</v>
      </c>
      <c r="AP2" s="637" t="s">
        <v>407</v>
      </c>
      <c r="AQ2" s="637" t="s">
        <v>408</v>
      </c>
      <c r="AR2" s="637" t="s">
        <v>409</v>
      </c>
      <c r="AS2" s="637" t="s">
        <v>410</v>
      </c>
      <c r="AT2" s="637" t="s">
        <v>411</v>
      </c>
      <c r="AU2" s="638" t="s">
        <v>412</v>
      </c>
      <c r="AV2" s="634" t="s">
        <v>413</v>
      </c>
      <c r="AW2" s="637" t="s">
        <v>414</v>
      </c>
      <c r="AX2" s="637" t="s">
        <v>415</v>
      </c>
      <c r="AY2" s="637" t="s">
        <v>416</v>
      </c>
      <c r="AZ2" s="637" t="s">
        <v>417</v>
      </c>
      <c r="BA2" s="637" t="s">
        <v>418</v>
      </c>
      <c r="BB2" s="637" t="s">
        <v>419</v>
      </c>
      <c r="BC2" s="637" t="s">
        <v>420</v>
      </c>
      <c r="BD2" s="637" t="s">
        <v>421</v>
      </c>
      <c r="BE2" s="637" t="s">
        <v>422</v>
      </c>
      <c r="BF2" s="637" t="s">
        <v>423</v>
      </c>
      <c r="BG2" s="637" t="s">
        <v>424</v>
      </c>
      <c r="BH2" s="637" t="s">
        <v>425</v>
      </c>
      <c r="BI2" s="634" t="s">
        <v>426</v>
      </c>
      <c r="BJ2" s="637" t="s">
        <v>427</v>
      </c>
      <c r="BK2" s="637" t="s">
        <v>428</v>
      </c>
      <c r="BL2" s="637" t="s">
        <v>429</v>
      </c>
      <c r="BM2" s="637" t="s">
        <v>430</v>
      </c>
      <c r="BN2" s="637" t="s">
        <v>431</v>
      </c>
      <c r="BO2" s="637" t="s">
        <v>432</v>
      </c>
      <c r="BP2" s="637" t="s">
        <v>433</v>
      </c>
      <c r="BQ2" s="637" t="s">
        <v>434</v>
      </c>
      <c r="BR2" s="637" t="s">
        <v>435</v>
      </c>
      <c r="BS2" s="634" t="s">
        <v>436</v>
      </c>
      <c r="BT2" s="637" t="s">
        <v>437</v>
      </c>
      <c r="BU2" s="637" t="s">
        <v>438</v>
      </c>
      <c r="BV2" s="637" t="s">
        <v>439</v>
      </c>
      <c r="BW2" s="637" t="s">
        <v>440</v>
      </c>
      <c r="BX2" s="637" t="s">
        <v>441</v>
      </c>
      <c r="BY2" s="637" t="s">
        <v>442</v>
      </c>
      <c r="BZ2" s="637" t="s">
        <v>442</v>
      </c>
      <c r="CA2" s="637" t="s">
        <v>443</v>
      </c>
      <c r="CB2" s="637" t="s">
        <v>444</v>
      </c>
      <c r="CC2" s="638" t="s">
        <v>445</v>
      </c>
      <c r="CD2" s="634" t="s">
        <v>446</v>
      </c>
      <c r="CE2" s="637" t="s">
        <v>447</v>
      </c>
      <c r="CF2" s="637" t="s">
        <v>448</v>
      </c>
      <c r="CG2" s="637" t="s">
        <v>449</v>
      </c>
      <c r="CH2" s="637" t="s">
        <v>450</v>
      </c>
      <c r="CI2" s="638" t="s">
        <v>451</v>
      </c>
      <c r="CJ2" s="634" t="s">
        <v>452</v>
      </c>
      <c r="CK2" s="637" t="s">
        <v>453</v>
      </c>
      <c r="CL2" s="637" t="s">
        <v>454</v>
      </c>
      <c r="CM2" s="637" t="s">
        <v>455</v>
      </c>
      <c r="CN2" s="637" t="s">
        <v>456</v>
      </c>
      <c r="CO2" s="637" t="s">
        <v>457</v>
      </c>
      <c r="CP2" s="637" t="s">
        <v>458</v>
      </c>
      <c r="CQ2" s="637" t="s">
        <v>459</v>
      </c>
      <c r="CR2" s="637" t="s">
        <v>425</v>
      </c>
      <c r="CS2" s="637" t="s">
        <v>460</v>
      </c>
      <c r="CT2" s="637" t="s">
        <v>461</v>
      </c>
      <c r="CU2" s="637" t="s">
        <v>462</v>
      </c>
      <c r="CV2" s="637" t="s">
        <v>463</v>
      </c>
      <c r="CW2" s="637" t="s">
        <v>464</v>
      </c>
      <c r="CX2" s="638" t="s">
        <v>465</v>
      </c>
      <c r="CY2" s="634" t="s">
        <v>466</v>
      </c>
      <c r="CZ2" s="637" t="s">
        <v>467</v>
      </c>
      <c r="DA2" s="637" t="s">
        <v>468</v>
      </c>
      <c r="DB2" s="637" t="s">
        <v>447</v>
      </c>
      <c r="DC2" s="637" t="s">
        <v>450</v>
      </c>
      <c r="DD2" s="637" t="s">
        <v>469</v>
      </c>
      <c r="DE2" s="637" t="s">
        <v>470</v>
      </c>
      <c r="DF2" s="637" t="s">
        <v>456</v>
      </c>
      <c r="DG2" s="637" t="s">
        <v>456</v>
      </c>
      <c r="DH2" s="637" t="s">
        <v>471</v>
      </c>
      <c r="DI2" s="637" t="s">
        <v>472</v>
      </c>
      <c r="DJ2" s="637" t="s">
        <v>473</v>
      </c>
      <c r="DK2" s="637" t="s">
        <v>474</v>
      </c>
    </row>
    <row r="3" spans="1:115" x14ac:dyDescent="0.25">
      <c r="A3" s="311" t="s">
        <v>175</v>
      </c>
      <c r="B3" s="321"/>
      <c r="C3" s="320"/>
      <c r="D3" s="317"/>
      <c r="E3" s="317"/>
      <c r="F3" s="325"/>
      <c r="G3" s="325"/>
      <c r="H3" s="328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17"/>
      <c r="Y3" s="328"/>
      <c r="Z3" s="320"/>
      <c r="AA3" s="320"/>
      <c r="AB3" s="320"/>
      <c r="AC3" s="328"/>
      <c r="AD3" s="320"/>
      <c r="AE3" s="320"/>
      <c r="AF3" s="320"/>
      <c r="AG3" s="320"/>
      <c r="AH3" s="320"/>
      <c r="AI3" s="320"/>
      <c r="AJ3" s="320"/>
      <c r="AK3" s="320"/>
      <c r="AL3" s="320"/>
      <c r="AM3" s="317"/>
      <c r="AN3" s="328"/>
      <c r="AO3" s="320"/>
      <c r="AP3" s="320"/>
      <c r="AQ3" s="320"/>
      <c r="AR3" s="320"/>
      <c r="AS3" s="320"/>
      <c r="AT3" s="320"/>
      <c r="AU3" s="317"/>
      <c r="AV3" s="328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8"/>
      <c r="BJ3" s="320"/>
      <c r="BK3" s="320"/>
      <c r="BL3" s="320"/>
      <c r="BM3" s="320"/>
      <c r="BN3" s="320"/>
      <c r="BO3" s="320"/>
      <c r="BP3" s="320"/>
      <c r="BQ3" s="320"/>
      <c r="BR3" s="320"/>
      <c r="BS3" s="328"/>
      <c r="BT3" s="320"/>
      <c r="BU3" s="320"/>
      <c r="BV3" s="320"/>
      <c r="BW3" s="320"/>
      <c r="BX3" s="320"/>
      <c r="BY3" s="320"/>
      <c r="BZ3" s="320"/>
      <c r="CA3" s="320"/>
      <c r="CB3" s="320"/>
      <c r="CC3" s="317"/>
      <c r="CD3" s="328"/>
      <c r="CE3" s="320"/>
      <c r="CF3" s="320"/>
      <c r="CG3" s="320"/>
      <c r="CH3" s="320"/>
      <c r="CI3" s="317"/>
      <c r="CJ3" s="328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17"/>
      <c r="CY3" s="328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</row>
    <row r="4" spans="1:115" x14ac:dyDescent="0.25">
      <c r="A4" s="312" t="s">
        <v>236</v>
      </c>
      <c r="B4" s="640"/>
      <c r="C4" s="319"/>
      <c r="D4" s="318"/>
      <c r="E4" s="318"/>
      <c r="F4" s="326"/>
      <c r="G4" s="326"/>
      <c r="H4" s="323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8"/>
      <c r="Y4" s="323"/>
      <c r="Z4" s="319"/>
      <c r="AA4" s="319"/>
      <c r="AB4" s="319"/>
      <c r="AC4" s="323"/>
      <c r="AD4" s="319"/>
      <c r="AE4" s="319"/>
      <c r="AF4" s="319"/>
      <c r="AG4" s="319"/>
      <c r="AH4" s="319"/>
      <c r="AI4" s="319"/>
      <c r="AJ4" s="319"/>
      <c r="AK4" s="319"/>
      <c r="AL4" s="319"/>
      <c r="AM4" s="318"/>
      <c r="AN4" s="323"/>
      <c r="AO4" s="319"/>
      <c r="AP4" s="319"/>
      <c r="AQ4" s="319"/>
      <c r="AR4" s="319"/>
      <c r="AS4" s="319"/>
      <c r="AT4" s="319"/>
      <c r="AU4" s="318"/>
      <c r="AV4" s="323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23"/>
      <c r="BJ4" s="319"/>
      <c r="BK4" s="319"/>
      <c r="BL4" s="319"/>
      <c r="BM4" s="319"/>
      <c r="BN4" s="319"/>
      <c r="BO4" s="319"/>
      <c r="BP4" s="319"/>
      <c r="BQ4" s="319"/>
      <c r="BR4" s="319"/>
      <c r="BS4" s="323"/>
      <c r="BT4" s="319"/>
      <c r="BU4" s="319"/>
      <c r="BV4" s="319"/>
      <c r="BW4" s="319"/>
      <c r="BX4" s="319"/>
      <c r="BY4" s="319"/>
      <c r="BZ4" s="319"/>
      <c r="CA4" s="319"/>
      <c r="CB4" s="319"/>
      <c r="CC4" s="318"/>
      <c r="CD4" s="323"/>
      <c r="CE4" s="319"/>
      <c r="CF4" s="319"/>
      <c r="CG4" s="319"/>
      <c r="CH4" s="319"/>
      <c r="CI4" s="318"/>
      <c r="CJ4" s="323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8"/>
      <c r="CY4" s="323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</row>
    <row r="5" spans="1:115" ht="15.75" customHeight="1" x14ac:dyDescent="0.25">
      <c r="A5" s="313" t="s">
        <v>237</v>
      </c>
      <c r="B5" s="322" t="s">
        <v>475</v>
      </c>
      <c r="C5" s="319">
        <v>16.600000000000001</v>
      </c>
      <c r="D5" s="318">
        <v>3.32</v>
      </c>
      <c r="E5" s="318">
        <v>4.9800000000000004</v>
      </c>
      <c r="F5" s="326">
        <v>4.9800000000000004</v>
      </c>
      <c r="G5" s="326">
        <v>3.32</v>
      </c>
      <c r="H5" s="323"/>
      <c r="I5" s="319">
        <v>4.9800000000000004</v>
      </c>
      <c r="J5" s="319">
        <v>16.600000000000001</v>
      </c>
      <c r="K5" s="319">
        <v>3.32</v>
      </c>
      <c r="L5" s="319">
        <v>33.200000000000003</v>
      </c>
      <c r="M5" s="319">
        <v>29.88</v>
      </c>
      <c r="N5" s="319">
        <v>4.9800000000000004</v>
      </c>
      <c r="O5" s="319">
        <v>50</v>
      </c>
      <c r="P5" s="319">
        <v>16.600000000000001</v>
      </c>
      <c r="Q5" s="319">
        <v>3.32</v>
      </c>
      <c r="R5" s="319">
        <v>1.66</v>
      </c>
      <c r="S5" s="319">
        <v>3.32</v>
      </c>
      <c r="T5" s="319">
        <v>3.32</v>
      </c>
      <c r="U5" s="319">
        <v>8.3000000000000007</v>
      </c>
      <c r="V5" s="319">
        <v>8.3000000000000007</v>
      </c>
      <c r="W5" s="319">
        <v>33.200000000000003</v>
      </c>
      <c r="X5" s="318">
        <v>16.600000000000001</v>
      </c>
      <c r="Y5" s="323"/>
      <c r="Z5" s="319" t="s">
        <v>512</v>
      </c>
      <c r="AA5" s="319" t="s">
        <v>512</v>
      </c>
      <c r="AB5" s="319">
        <v>8.3000000000000007</v>
      </c>
      <c r="AC5" s="323"/>
      <c r="AD5" s="319">
        <v>4.9800000000000004</v>
      </c>
      <c r="AE5" s="319">
        <v>3.32</v>
      </c>
      <c r="AF5" s="319">
        <v>3.32</v>
      </c>
      <c r="AG5" s="319">
        <v>16.600000000000001</v>
      </c>
      <c r="AH5" s="319">
        <v>3.32</v>
      </c>
      <c r="AI5" s="319">
        <v>8.3000000000000007</v>
      </c>
      <c r="AJ5" s="319">
        <v>8.3000000000000007</v>
      </c>
      <c r="AK5" s="319">
        <v>9</v>
      </c>
      <c r="AL5" s="319">
        <v>3.32</v>
      </c>
      <c r="AM5" s="318" t="s">
        <v>513</v>
      </c>
      <c r="AN5" s="323"/>
      <c r="AO5" s="319">
        <v>15</v>
      </c>
      <c r="AP5" s="319">
        <v>15</v>
      </c>
      <c r="AQ5" s="319">
        <v>9.9600000000000009</v>
      </c>
      <c r="AR5" s="319">
        <v>3.32</v>
      </c>
      <c r="AS5" s="319">
        <v>1.66</v>
      </c>
      <c r="AT5" s="319">
        <v>3.32</v>
      </c>
      <c r="AU5" s="318">
        <v>4.9800000000000004</v>
      </c>
      <c r="AV5" s="323"/>
      <c r="AW5" s="319">
        <v>25</v>
      </c>
      <c r="AX5" s="319">
        <v>16.600000000000001</v>
      </c>
      <c r="AY5" s="319">
        <v>50</v>
      </c>
      <c r="AZ5" s="319">
        <v>50</v>
      </c>
      <c r="BA5" s="319">
        <v>25</v>
      </c>
      <c r="BB5" s="319">
        <v>1.66</v>
      </c>
      <c r="BC5" s="319">
        <v>25</v>
      </c>
      <c r="BD5" s="319" t="s">
        <v>513</v>
      </c>
      <c r="BE5" s="319">
        <v>4.9800000000000004</v>
      </c>
      <c r="BF5" s="319">
        <v>24.9</v>
      </c>
      <c r="BG5" s="319">
        <v>1.66</v>
      </c>
      <c r="BH5" s="319">
        <v>8.3000000000000007</v>
      </c>
      <c r="BI5" s="323"/>
      <c r="BJ5" s="319">
        <v>8.3000000000000007</v>
      </c>
      <c r="BK5" s="319">
        <v>4.9800000000000004</v>
      </c>
      <c r="BL5" s="319">
        <v>4.9800000000000004</v>
      </c>
      <c r="BM5" s="319" t="s">
        <v>513</v>
      </c>
      <c r="BN5" s="319">
        <v>6.64</v>
      </c>
      <c r="BO5" s="319">
        <v>3.32</v>
      </c>
      <c r="BP5" s="319">
        <v>8.3000000000000007</v>
      </c>
      <c r="BQ5" s="319">
        <v>4.9800000000000004</v>
      </c>
      <c r="BR5" s="319" t="s">
        <v>513</v>
      </c>
      <c r="BS5" s="323"/>
      <c r="BT5" s="319"/>
      <c r="BU5" s="319">
        <v>1.66</v>
      </c>
      <c r="BV5" s="319">
        <v>1.66</v>
      </c>
      <c r="BW5" s="319">
        <v>50</v>
      </c>
      <c r="BX5" s="319"/>
      <c r="BY5" s="319"/>
      <c r="BZ5" s="319"/>
      <c r="CA5" s="319"/>
      <c r="CB5" s="319"/>
      <c r="CC5" s="318"/>
      <c r="CD5" s="323"/>
      <c r="CE5" s="319"/>
      <c r="CF5" s="319">
        <v>1.66</v>
      </c>
      <c r="CG5" s="319">
        <v>1.66</v>
      </c>
      <c r="CH5" s="319">
        <v>1.66</v>
      </c>
      <c r="CI5" s="318">
        <v>16.600000000000001</v>
      </c>
      <c r="CJ5" s="323"/>
      <c r="CK5" s="319">
        <v>16.600000000000001</v>
      </c>
      <c r="CL5" s="319">
        <v>25</v>
      </c>
      <c r="CM5" s="319">
        <v>25</v>
      </c>
      <c r="CN5" s="319">
        <v>25</v>
      </c>
      <c r="CO5" s="319">
        <v>16.600000000000001</v>
      </c>
      <c r="CP5" s="319">
        <v>1.66</v>
      </c>
      <c r="CQ5" s="319"/>
      <c r="CR5" s="319">
        <v>8.3000000000000007</v>
      </c>
      <c r="CS5" s="319">
        <v>25</v>
      </c>
      <c r="CT5" s="319"/>
      <c r="CU5" s="319">
        <v>3.32</v>
      </c>
      <c r="CV5" s="319" t="s">
        <v>512</v>
      </c>
      <c r="CW5" s="319">
        <v>1.66</v>
      </c>
      <c r="CX5" s="318"/>
      <c r="CY5" s="323"/>
      <c r="CZ5" s="319">
        <v>8.3000000000000007</v>
      </c>
      <c r="DA5" s="319">
        <v>16.600000000000001</v>
      </c>
      <c r="DB5" s="319">
        <v>16.600000000000001</v>
      </c>
      <c r="DC5" s="319">
        <v>3.32</v>
      </c>
      <c r="DD5" s="319"/>
      <c r="DE5" s="319"/>
      <c r="DF5" s="319"/>
      <c r="DG5" s="319"/>
      <c r="DH5" s="319"/>
      <c r="DI5" s="319"/>
      <c r="DJ5" s="319"/>
      <c r="DK5" s="319"/>
    </row>
    <row r="6" spans="1:115" x14ac:dyDescent="0.25">
      <c r="A6" s="313" t="s">
        <v>238</v>
      </c>
      <c r="B6" s="322" t="s">
        <v>475</v>
      </c>
      <c r="C6" s="319">
        <v>19.920000000000002</v>
      </c>
      <c r="D6" s="318">
        <v>4.9800000000000004</v>
      </c>
      <c r="E6" s="318">
        <v>3.32</v>
      </c>
      <c r="F6" s="326">
        <v>6.64</v>
      </c>
      <c r="G6" s="326">
        <v>1.66</v>
      </c>
      <c r="H6" s="323"/>
      <c r="I6" s="319">
        <v>3.32</v>
      </c>
      <c r="J6" s="319">
        <v>14.94</v>
      </c>
      <c r="K6" s="319">
        <v>1.66</v>
      </c>
      <c r="L6" s="319">
        <v>29.88</v>
      </c>
      <c r="M6" s="319">
        <v>31.54</v>
      </c>
      <c r="N6" s="319">
        <v>6.64</v>
      </c>
      <c r="O6" s="319">
        <v>25</v>
      </c>
      <c r="P6" s="319">
        <v>15</v>
      </c>
      <c r="Q6" s="319">
        <v>6.64</v>
      </c>
      <c r="R6" s="319">
        <v>1.66</v>
      </c>
      <c r="S6" s="319">
        <v>3.32</v>
      </c>
      <c r="T6" s="319">
        <v>4.9800000000000004</v>
      </c>
      <c r="U6" s="319">
        <v>8.3000000000000007</v>
      </c>
      <c r="V6" s="319">
        <v>6.64</v>
      </c>
      <c r="W6" s="656">
        <v>29.88</v>
      </c>
      <c r="X6" s="318">
        <v>16.600000000000001</v>
      </c>
      <c r="Y6" s="323"/>
      <c r="Z6" s="319" t="s">
        <v>512</v>
      </c>
      <c r="AA6" s="319" t="s">
        <v>512</v>
      </c>
      <c r="AB6" s="319">
        <v>4.9800000000000004</v>
      </c>
      <c r="AC6" s="323"/>
      <c r="AD6" s="319">
        <v>3.32</v>
      </c>
      <c r="AE6" s="319">
        <v>3.32</v>
      </c>
      <c r="AF6" s="319">
        <v>1.66</v>
      </c>
      <c r="AG6" s="319">
        <v>8.3000000000000007</v>
      </c>
      <c r="AH6" s="319">
        <v>3.32</v>
      </c>
      <c r="AI6" s="319">
        <v>8.3000000000000007</v>
      </c>
      <c r="AJ6" s="319">
        <v>8.3000000000000007</v>
      </c>
      <c r="AK6" s="319">
        <v>8.4</v>
      </c>
      <c r="AL6" s="319">
        <v>4.9800000000000004</v>
      </c>
      <c r="AM6" s="318" t="s">
        <v>513</v>
      </c>
      <c r="AN6" s="323"/>
      <c r="AO6" s="319">
        <v>13.28</v>
      </c>
      <c r="AP6" s="319">
        <v>16.600000000000001</v>
      </c>
      <c r="AQ6" s="319">
        <v>16.600000000000001</v>
      </c>
      <c r="AR6" s="319">
        <v>4.9800000000000004</v>
      </c>
      <c r="AS6" s="319">
        <v>1.66</v>
      </c>
      <c r="AT6" s="319">
        <v>16.600000000000001</v>
      </c>
      <c r="AU6" s="318">
        <v>8.3000000000000007</v>
      </c>
      <c r="AV6" s="323"/>
      <c r="AW6" s="319">
        <v>25</v>
      </c>
      <c r="AX6" s="319">
        <v>8.3000000000000007</v>
      </c>
      <c r="AY6" s="319">
        <v>33.200000000000003</v>
      </c>
      <c r="AZ6" s="319">
        <v>16.600000000000001</v>
      </c>
      <c r="BA6" s="319">
        <v>16.600000000000001</v>
      </c>
      <c r="BB6" s="319">
        <v>3.32</v>
      </c>
      <c r="BC6" s="319">
        <v>23.24</v>
      </c>
      <c r="BD6" s="319" t="s">
        <v>513</v>
      </c>
      <c r="BE6" s="319">
        <v>3.32</v>
      </c>
      <c r="BF6" s="319">
        <v>23.24</v>
      </c>
      <c r="BG6" s="319">
        <v>1.66</v>
      </c>
      <c r="BH6" s="319">
        <v>9.9600000000000009</v>
      </c>
      <c r="BI6" s="323"/>
      <c r="BJ6" s="319">
        <v>16.600000000000001</v>
      </c>
      <c r="BK6" s="319">
        <v>6.64</v>
      </c>
      <c r="BL6" s="319">
        <v>4.9800000000000004</v>
      </c>
      <c r="BM6" s="319" t="s">
        <v>513</v>
      </c>
      <c r="BN6" s="319">
        <v>6.64</v>
      </c>
      <c r="BO6" s="319">
        <v>1.66</v>
      </c>
      <c r="BP6" s="319">
        <v>16.600000000000001</v>
      </c>
      <c r="BQ6" s="319">
        <v>3.32</v>
      </c>
      <c r="BR6" s="319" t="s">
        <v>513</v>
      </c>
      <c r="BS6" s="323"/>
      <c r="BT6" s="319"/>
      <c r="BU6" s="319">
        <v>1.66</v>
      </c>
      <c r="BV6" s="319">
        <v>1.66</v>
      </c>
      <c r="BW6" s="319">
        <v>1.66</v>
      </c>
      <c r="BX6" s="319"/>
      <c r="BY6" s="319"/>
      <c r="BZ6" s="319"/>
      <c r="CA6" s="319"/>
      <c r="CB6" s="319"/>
      <c r="CC6" s="318"/>
      <c r="CD6" s="323"/>
      <c r="CE6" s="319"/>
      <c r="CF6" s="319">
        <v>3.32</v>
      </c>
      <c r="CG6" s="319">
        <v>1.66</v>
      </c>
      <c r="CH6" s="319">
        <v>3.32</v>
      </c>
      <c r="CI6" s="318">
        <v>11.62</v>
      </c>
      <c r="CJ6" s="323"/>
      <c r="CK6" s="319">
        <v>18.260000000000002</v>
      </c>
      <c r="CL6" s="319">
        <v>19.920000000000002</v>
      </c>
      <c r="CM6" s="319">
        <v>23.24</v>
      </c>
      <c r="CN6" s="319">
        <v>25</v>
      </c>
      <c r="CO6" s="319">
        <v>13.28</v>
      </c>
      <c r="CP6" s="319">
        <v>3.32</v>
      </c>
      <c r="CQ6" s="319"/>
      <c r="CR6" s="319">
        <v>6.64</v>
      </c>
      <c r="CS6" s="319">
        <v>33.200000000000003</v>
      </c>
      <c r="CT6" s="319"/>
      <c r="CU6" s="319">
        <v>4.9800000000000004</v>
      </c>
      <c r="CV6" s="319" t="s">
        <v>512</v>
      </c>
      <c r="CW6" s="319">
        <v>3.32</v>
      </c>
      <c r="CX6" s="318"/>
      <c r="CY6" s="323"/>
      <c r="CZ6" s="319">
        <v>6.64</v>
      </c>
      <c r="DA6" s="319">
        <v>50</v>
      </c>
      <c r="DB6" s="319">
        <v>11.62</v>
      </c>
      <c r="DC6" s="319">
        <v>4.9800000000000004</v>
      </c>
      <c r="DD6" s="319"/>
      <c r="DE6" s="319"/>
      <c r="DF6" s="319"/>
      <c r="DG6" s="319"/>
      <c r="DH6" s="319"/>
      <c r="DI6" s="319"/>
      <c r="DJ6" s="319"/>
      <c r="DK6" s="319"/>
    </row>
    <row r="7" spans="1:115" x14ac:dyDescent="0.25">
      <c r="A7" s="313" t="s">
        <v>239</v>
      </c>
      <c r="B7" s="322" t="s">
        <v>475</v>
      </c>
      <c r="C7" s="319">
        <v>18.260000000000002</v>
      </c>
      <c r="D7" s="318">
        <v>1.66</v>
      </c>
      <c r="E7" s="318">
        <v>3.32</v>
      </c>
      <c r="F7" s="326">
        <v>3.32</v>
      </c>
      <c r="G7" s="326">
        <v>1.66</v>
      </c>
      <c r="H7" s="323"/>
      <c r="I7" s="319">
        <v>1.66</v>
      </c>
      <c r="J7" s="319">
        <v>19.920000000000002</v>
      </c>
      <c r="K7" s="319">
        <v>3.32</v>
      </c>
      <c r="L7" s="319">
        <v>28.22</v>
      </c>
      <c r="M7" s="319">
        <v>33.200000000000003</v>
      </c>
      <c r="N7" s="319">
        <v>16.600000000000001</v>
      </c>
      <c r="O7" s="319">
        <v>33.200000000000003</v>
      </c>
      <c r="P7" s="319">
        <v>15</v>
      </c>
      <c r="Q7" s="319">
        <v>6.64</v>
      </c>
      <c r="R7" s="319">
        <v>1.66</v>
      </c>
      <c r="S7" s="319">
        <v>4.9800000000000004</v>
      </c>
      <c r="T7" s="319">
        <v>3.32</v>
      </c>
      <c r="U7" s="319">
        <v>6.64</v>
      </c>
      <c r="V7" s="319">
        <v>4.9800000000000004</v>
      </c>
      <c r="W7" s="319">
        <v>29.88</v>
      </c>
      <c r="X7" s="318">
        <v>19.920000000000002</v>
      </c>
      <c r="Y7" s="323"/>
      <c r="Z7" s="319" t="s">
        <v>512</v>
      </c>
      <c r="AA7" s="319" t="s">
        <v>512</v>
      </c>
      <c r="AB7" s="319">
        <v>3.32</v>
      </c>
      <c r="AC7" s="323"/>
      <c r="AD7" s="319">
        <v>1.66</v>
      </c>
      <c r="AE7" s="319">
        <v>4.9800000000000004</v>
      </c>
      <c r="AF7" s="319">
        <v>1.66</v>
      </c>
      <c r="AG7" s="319">
        <v>4.9800000000000004</v>
      </c>
      <c r="AH7" s="319">
        <v>4.9800000000000004</v>
      </c>
      <c r="AI7" s="319">
        <v>6.64</v>
      </c>
      <c r="AJ7" s="319">
        <v>4.9800000000000004</v>
      </c>
      <c r="AK7" s="319">
        <v>9.6</v>
      </c>
      <c r="AL7" s="319">
        <v>4.9800000000000004</v>
      </c>
      <c r="AM7" s="318" t="s">
        <v>513</v>
      </c>
      <c r="AN7" s="323"/>
      <c r="AO7" s="319">
        <v>18.260000000000002</v>
      </c>
      <c r="AP7" s="319">
        <v>18.260000000000002</v>
      </c>
      <c r="AQ7" s="319">
        <v>15</v>
      </c>
      <c r="AR7" s="319">
        <v>1.66</v>
      </c>
      <c r="AS7" s="319">
        <v>3.32</v>
      </c>
      <c r="AT7" s="319">
        <v>8.3000000000000007</v>
      </c>
      <c r="AU7" s="318">
        <v>1.66</v>
      </c>
      <c r="AV7" s="323"/>
      <c r="AW7" s="319">
        <v>16.600000000000001</v>
      </c>
      <c r="AX7" s="319">
        <v>8.3000000000000007</v>
      </c>
      <c r="AY7" s="319">
        <v>33.200000000000003</v>
      </c>
      <c r="AZ7" s="319">
        <v>33.200000000000003</v>
      </c>
      <c r="BA7" s="319">
        <v>16.600000000000001</v>
      </c>
      <c r="BB7" s="319">
        <v>1.66</v>
      </c>
      <c r="BC7" s="319">
        <v>19.920000000000002</v>
      </c>
      <c r="BD7" s="319" t="s">
        <v>513</v>
      </c>
      <c r="BE7" s="319">
        <v>3.32</v>
      </c>
      <c r="BF7" s="319">
        <v>19.920000000000002</v>
      </c>
      <c r="BG7" s="319">
        <v>1.66</v>
      </c>
      <c r="BH7" s="319">
        <v>11.62</v>
      </c>
      <c r="BI7" s="323"/>
      <c r="BJ7" s="319">
        <v>16.600000000000001</v>
      </c>
      <c r="BK7" s="319">
        <v>6.64</v>
      </c>
      <c r="BL7" s="319">
        <v>3.32</v>
      </c>
      <c r="BM7" s="319" t="s">
        <v>513</v>
      </c>
      <c r="BN7" s="319">
        <v>4.9800000000000004</v>
      </c>
      <c r="BO7" s="319">
        <v>4.9800000000000004</v>
      </c>
      <c r="BP7" s="319">
        <v>11.62</v>
      </c>
      <c r="BQ7" s="319">
        <v>3.32</v>
      </c>
      <c r="BR7" s="319" t="s">
        <v>513</v>
      </c>
      <c r="BS7" s="323"/>
      <c r="BT7" s="319"/>
      <c r="BU7" s="319">
        <v>1.66</v>
      </c>
      <c r="BV7" s="319">
        <v>3.32</v>
      </c>
      <c r="BW7" s="319">
        <v>8.3000000000000007</v>
      </c>
      <c r="BX7" s="319"/>
      <c r="BY7" s="319"/>
      <c r="BZ7" s="319"/>
      <c r="CA7" s="319"/>
      <c r="CB7" s="319"/>
      <c r="CC7" s="318"/>
      <c r="CD7" s="323"/>
      <c r="CE7" s="319"/>
      <c r="CF7" s="319">
        <v>3.32</v>
      </c>
      <c r="CG7" s="319">
        <v>1.66</v>
      </c>
      <c r="CH7" s="319">
        <v>1.66</v>
      </c>
      <c r="CI7" s="318">
        <v>13.28</v>
      </c>
      <c r="CJ7" s="323"/>
      <c r="CK7" s="319">
        <v>23.24</v>
      </c>
      <c r="CL7" s="319">
        <v>18.260000000000002</v>
      </c>
      <c r="CM7" s="319">
        <v>19.920000000000002</v>
      </c>
      <c r="CN7" s="319">
        <v>29.88</v>
      </c>
      <c r="CO7" s="319">
        <v>13.28</v>
      </c>
      <c r="CP7" s="319">
        <v>3.32</v>
      </c>
      <c r="CQ7" s="319"/>
      <c r="CR7" s="319">
        <v>11.62</v>
      </c>
      <c r="CS7" s="319">
        <v>28.22</v>
      </c>
      <c r="CT7" s="319"/>
      <c r="CU7" s="319">
        <v>8.3000000000000007</v>
      </c>
      <c r="CV7" s="319" t="s">
        <v>512</v>
      </c>
      <c r="CW7" s="319">
        <v>4.9800000000000004</v>
      </c>
      <c r="CX7" s="318"/>
      <c r="CY7" s="323"/>
      <c r="CZ7" s="319">
        <v>16.600000000000001</v>
      </c>
      <c r="DA7" s="319">
        <v>29.88</v>
      </c>
      <c r="DB7" s="319">
        <v>13.28</v>
      </c>
      <c r="DC7" s="319">
        <v>3.32</v>
      </c>
      <c r="DD7" s="319"/>
      <c r="DE7" s="319"/>
      <c r="DF7" s="319"/>
      <c r="DG7" s="319"/>
      <c r="DH7" s="319"/>
      <c r="DI7" s="319"/>
      <c r="DJ7" s="319"/>
      <c r="DK7" s="319"/>
    </row>
    <row r="8" spans="1:115" x14ac:dyDescent="0.25">
      <c r="A8" s="313" t="s">
        <v>240</v>
      </c>
      <c r="B8" s="322" t="s">
        <v>475</v>
      </c>
      <c r="C8" s="319">
        <v>18.260000000000002</v>
      </c>
      <c r="D8" s="318">
        <v>4.9800000000000004</v>
      </c>
      <c r="E8" s="318">
        <v>4.9800000000000004</v>
      </c>
      <c r="F8" s="326">
        <v>3.32</v>
      </c>
      <c r="G8" s="326">
        <v>3.32</v>
      </c>
      <c r="H8" s="323"/>
      <c r="I8" s="319">
        <v>1.66</v>
      </c>
      <c r="J8" s="319">
        <v>24.9</v>
      </c>
      <c r="K8" s="319">
        <v>4.9800000000000004</v>
      </c>
      <c r="L8" s="319">
        <v>16.600000000000001</v>
      </c>
      <c r="M8" s="319">
        <v>23.24</v>
      </c>
      <c r="N8" s="319">
        <v>9.9600000000000009</v>
      </c>
      <c r="O8" s="319">
        <v>33.200000000000003</v>
      </c>
      <c r="P8" s="319">
        <v>13.28</v>
      </c>
      <c r="Q8" s="319">
        <v>15</v>
      </c>
      <c r="R8" s="319">
        <v>1.66</v>
      </c>
      <c r="S8" s="319">
        <v>1.66</v>
      </c>
      <c r="T8" s="319">
        <v>4.9800000000000004</v>
      </c>
      <c r="U8" s="319">
        <v>11.62</v>
      </c>
      <c r="V8" s="319">
        <v>6.64</v>
      </c>
      <c r="W8" s="319">
        <v>25</v>
      </c>
      <c r="X8" s="318">
        <v>23.24</v>
      </c>
      <c r="Y8" s="323"/>
      <c r="Z8" s="319" t="s">
        <v>512</v>
      </c>
      <c r="AA8" s="319" t="s">
        <v>512</v>
      </c>
      <c r="AB8" s="319">
        <v>16.600000000000001</v>
      </c>
      <c r="AC8" s="323"/>
      <c r="AD8" s="319">
        <v>1.66</v>
      </c>
      <c r="AE8" s="319">
        <v>6.64</v>
      </c>
      <c r="AF8" s="319">
        <v>1.66</v>
      </c>
      <c r="AG8" s="319">
        <v>8.3000000000000007</v>
      </c>
      <c r="AH8" s="319">
        <v>3.32</v>
      </c>
      <c r="AI8" s="319">
        <v>9.9600000000000009</v>
      </c>
      <c r="AJ8" s="319">
        <v>3.32</v>
      </c>
      <c r="AK8" s="319">
        <v>25</v>
      </c>
      <c r="AL8" s="319">
        <v>6.64</v>
      </c>
      <c r="AM8" s="318" t="s">
        <v>513</v>
      </c>
      <c r="AN8" s="323"/>
      <c r="AO8" s="319">
        <v>19.920000000000002</v>
      </c>
      <c r="AP8" s="319">
        <v>25</v>
      </c>
      <c r="AQ8" s="319">
        <v>15</v>
      </c>
      <c r="AR8" s="319">
        <v>3.32</v>
      </c>
      <c r="AS8" s="319">
        <v>1.66</v>
      </c>
      <c r="AT8" s="319">
        <v>8.3000000000000007</v>
      </c>
      <c r="AU8" s="318">
        <v>3.32</v>
      </c>
      <c r="AV8" s="323"/>
      <c r="AW8" s="319">
        <v>8.3000000000000007</v>
      </c>
      <c r="AX8" s="319">
        <v>4.9800000000000004</v>
      </c>
      <c r="AY8" s="319">
        <v>28.22</v>
      </c>
      <c r="AZ8" s="319">
        <v>33.200000000000003</v>
      </c>
      <c r="BA8" s="319">
        <v>8.3000000000000007</v>
      </c>
      <c r="BB8" s="319">
        <v>1.66</v>
      </c>
      <c r="BC8" s="319">
        <v>33.200000000000003</v>
      </c>
      <c r="BD8" s="319" t="s">
        <v>513</v>
      </c>
      <c r="BE8" s="319">
        <v>4.9800000000000004</v>
      </c>
      <c r="BF8" s="319">
        <v>24.9</v>
      </c>
      <c r="BG8" s="319">
        <v>3.32</v>
      </c>
      <c r="BH8" s="319">
        <v>6.64</v>
      </c>
      <c r="BI8" s="323"/>
      <c r="BJ8" s="319">
        <v>11.62</v>
      </c>
      <c r="BK8" s="319">
        <v>4.9800000000000004</v>
      </c>
      <c r="BL8" s="319">
        <v>3.32</v>
      </c>
      <c r="BM8" s="319" t="s">
        <v>513</v>
      </c>
      <c r="BN8" s="319">
        <v>3.32</v>
      </c>
      <c r="BO8" s="319">
        <v>3.32</v>
      </c>
      <c r="BP8" s="319">
        <v>13.28</v>
      </c>
      <c r="BQ8" s="319">
        <v>4.9800000000000004</v>
      </c>
      <c r="BR8" s="319" t="s">
        <v>513</v>
      </c>
      <c r="BS8" s="323"/>
      <c r="BT8" s="319"/>
      <c r="BU8" s="319">
        <v>6.64</v>
      </c>
      <c r="BV8" s="319">
        <v>4.9800000000000004</v>
      </c>
      <c r="BW8" s="319">
        <v>29.88</v>
      </c>
      <c r="BX8" s="319"/>
      <c r="BY8" s="319"/>
      <c r="BZ8" s="319"/>
      <c r="CA8" s="319"/>
      <c r="CB8" s="319"/>
      <c r="CC8" s="318"/>
      <c r="CD8" s="323"/>
      <c r="CE8" s="319"/>
      <c r="CF8" s="319">
        <v>1.66</v>
      </c>
      <c r="CG8" s="319">
        <v>6.64</v>
      </c>
      <c r="CH8" s="319">
        <v>1.66</v>
      </c>
      <c r="CI8" s="318">
        <v>15</v>
      </c>
      <c r="CJ8" s="323"/>
      <c r="CK8" s="319">
        <v>23.24</v>
      </c>
      <c r="CL8" s="319">
        <v>18.260000000000002</v>
      </c>
      <c r="CM8" s="319">
        <v>33.200000000000003</v>
      </c>
      <c r="CN8" s="319">
        <v>14.94</v>
      </c>
      <c r="CO8" s="319">
        <v>9.9600000000000009</v>
      </c>
      <c r="CP8" s="319">
        <v>1.66</v>
      </c>
      <c r="CQ8" s="319"/>
      <c r="CR8" s="319">
        <v>16.600000000000001</v>
      </c>
      <c r="CS8" s="319">
        <v>14.94</v>
      </c>
      <c r="CT8" s="319"/>
      <c r="CU8" s="319">
        <v>3.32</v>
      </c>
      <c r="CV8" s="319" t="s">
        <v>512</v>
      </c>
      <c r="CW8" s="319">
        <v>1.66</v>
      </c>
      <c r="CX8" s="318"/>
      <c r="CY8" s="323"/>
      <c r="CZ8" s="319">
        <v>9.9600000000000009</v>
      </c>
      <c r="DA8" s="319">
        <v>14.94</v>
      </c>
      <c r="DB8" s="319">
        <v>11.62</v>
      </c>
      <c r="DC8" s="319">
        <v>1.66</v>
      </c>
      <c r="DD8" s="319"/>
      <c r="DE8" s="319"/>
      <c r="DF8" s="319"/>
      <c r="DG8" s="319"/>
      <c r="DH8" s="319"/>
      <c r="DI8" s="319"/>
      <c r="DJ8" s="319"/>
      <c r="DK8" s="319"/>
    </row>
    <row r="9" spans="1:115" x14ac:dyDescent="0.25">
      <c r="A9" s="313" t="s">
        <v>241</v>
      </c>
      <c r="B9" s="322" t="s">
        <v>475</v>
      </c>
      <c r="C9" s="319">
        <v>19.920000000000002</v>
      </c>
      <c r="D9" s="318">
        <v>1.66</v>
      </c>
      <c r="E9" s="318">
        <v>6.64</v>
      </c>
      <c r="F9" s="326">
        <v>3.32</v>
      </c>
      <c r="G9" s="326">
        <v>4.9800000000000004</v>
      </c>
      <c r="H9" s="323"/>
      <c r="I9" s="319">
        <v>4.9800000000000004</v>
      </c>
      <c r="J9" s="319">
        <v>24.9</v>
      </c>
      <c r="K9" s="319">
        <v>1.66</v>
      </c>
      <c r="L9" s="319">
        <v>50</v>
      </c>
      <c r="M9" s="319">
        <v>17.600000000000001</v>
      </c>
      <c r="N9" s="319">
        <v>4.9800000000000004</v>
      </c>
      <c r="O9" s="319">
        <v>50</v>
      </c>
      <c r="P9" s="319">
        <v>11.62</v>
      </c>
      <c r="Q9" s="319">
        <v>4.9800000000000004</v>
      </c>
      <c r="R9" s="319">
        <v>3.32</v>
      </c>
      <c r="S9" s="319">
        <v>1.66</v>
      </c>
      <c r="T9" s="319">
        <v>6.64</v>
      </c>
      <c r="U9" s="319">
        <v>11.62</v>
      </c>
      <c r="V9" s="319">
        <v>8.3000000000000007</v>
      </c>
      <c r="W9" s="319">
        <v>25</v>
      </c>
      <c r="X9" s="318">
        <v>25</v>
      </c>
      <c r="Y9" s="323"/>
      <c r="Z9" s="319" t="s">
        <v>512</v>
      </c>
      <c r="AA9" s="319" t="s">
        <v>512</v>
      </c>
      <c r="AB9" s="319">
        <v>1.66</v>
      </c>
      <c r="AC9" s="323"/>
      <c r="AD9" s="319">
        <v>3.32</v>
      </c>
      <c r="AE9" s="319">
        <v>8.3000000000000007</v>
      </c>
      <c r="AF9" s="319">
        <v>3.32</v>
      </c>
      <c r="AG9" s="319">
        <v>3.32</v>
      </c>
      <c r="AH9" s="319">
        <v>1.66</v>
      </c>
      <c r="AI9" s="319">
        <v>9.9600000000000009</v>
      </c>
      <c r="AJ9" s="319">
        <v>8.3000000000000007</v>
      </c>
      <c r="AK9" s="319">
        <v>23.24</v>
      </c>
      <c r="AL9" s="319">
        <v>3.32</v>
      </c>
      <c r="AM9" s="318" t="s">
        <v>513</v>
      </c>
      <c r="AN9" s="323"/>
      <c r="AO9" s="319">
        <v>16.600000000000001</v>
      </c>
      <c r="AP9" s="319">
        <v>25</v>
      </c>
      <c r="AQ9" s="319">
        <v>9.9600000000000009</v>
      </c>
      <c r="AR9" s="319">
        <v>4.9800000000000004</v>
      </c>
      <c r="AS9" s="319">
        <v>1.66</v>
      </c>
      <c r="AT9" s="319">
        <v>16.600000000000001</v>
      </c>
      <c r="AU9" s="318">
        <v>8.3000000000000007</v>
      </c>
      <c r="AV9" s="323"/>
      <c r="AW9" s="319">
        <v>33.200000000000003</v>
      </c>
      <c r="AX9" s="319">
        <v>16.600000000000001</v>
      </c>
      <c r="AY9" s="319">
        <v>25</v>
      </c>
      <c r="AZ9" s="319">
        <v>28.22</v>
      </c>
      <c r="BA9" s="319">
        <v>50</v>
      </c>
      <c r="BB9" s="319">
        <v>1.66</v>
      </c>
      <c r="BC9" s="319">
        <v>28.22</v>
      </c>
      <c r="BD9" s="319" t="s">
        <v>513</v>
      </c>
      <c r="BE9" s="319">
        <v>1.66</v>
      </c>
      <c r="BF9" s="319">
        <v>11.62</v>
      </c>
      <c r="BG9" s="319">
        <v>1.66</v>
      </c>
      <c r="BH9" s="319">
        <v>9.9600000000000009</v>
      </c>
      <c r="BI9" s="323"/>
      <c r="BJ9" s="319">
        <v>8.3000000000000007</v>
      </c>
      <c r="BK9" s="319">
        <v>6.64</v>
      </c>
      <c r="BL9" s="319">
        <v>3.32</v>
      </c>
      <c r="BM9" s="319" t="s">
        <v>513</v>
      </c>
      <c r="BN9" s="319">
        <v>16.600000000000001</v>
      </c>
      <c r="BO9" s="319">
        <v>3.32</v>
      </c>
      <c r="BP9" s="319">
        <v>4.9800000000000004</v>
      </c>
      <c r="BQ9" s="319">
        <v>1.66</v>
      </c>
      <c r="BR9" s="319" t="s">
        <v>513</v>
      </c>
      <c r="BS9" s="323"/>
      <c r="BT9" s="319"/>
      <c r="BU9" s="319">
        <v>3.32</v>
      </c>
      <c r="BV9" s="319">
        <v>1.66</v>
      </c>
      <c r="BW9" s="319">
        <v>74.7</v>
      </c>
      <c r="BX9" s="319"/>
      <c r="BY9" s="319"/>
      <c r="BZ9" s="319"/>
      <c r="CA9" s="319"/>
      <c r="CB9" s="319"/>
      <c r="CC9" s="318"/>
      <c r="CD9" s="323"/>
      <c r="CE9" s="319"/>
      <c r="CF9" s="319">
        <v>1.66</v>
      </c>
      <c r="CG9" s="319">
        <v>4.9800000000000004</v>
      </c>
      <c r="CH9" s="319">
        <v>3.32</v>
      </c>
      <c r="CI9" s="318">
        <v>15</v>
      </c>
      <c r="CJ9" s="323"/>
      <c r="CK9" s="319">
        <v>33.200000000000003</v>
      </c>
      <c r="CL9" s="319">
        <v>25</v>
      </c>
      <c r="CM9" s="319">
        <v>33.200000000000003</v>
      </c>
      <c r="CN9" s="319">
        <v>23.24</v>
      </c>
      <c r="CO9" s="319">
        <v>31.54</v>
      </c>
      <c r="CP9" s="319">
        <v>1.66</v>
      </c>
      <c r="CQ9" s="319"/>
      <c r="CR9" s="319">
        <v>16.600000000000001</v>
      </c>
      <c r="CS9" s="319">
        <v>19.920000000000002</v>
      </c>
      <c r="CT9" s="319"/>
      <c r="CU9" s="319">
        <v>4.9800000000000004</v>
      </c>
      <c r="CV9" s="319" t="s">
        <v>512</v>
      </c>
      <c r="CW9" s="319">
        <v>4.9800000000000004</v>
      </c>
      <c r="CX9" s="318"/>
      <c r="CY9" s="323"/>
      <c r="CZ9" s="319">
        <v>33.200000000000003</v>
      </c>
      <c r="DA9" s="319">
        <v>28.22</v>
      </c>
      <c r="DB9" s="319">
        <v>33.200000000000003</v>
      </c>
      <c r="DC9" s="319">
        <v>1.66</v>
      </c>
      <c r="DD9" s="319"/>
      <c r="DE9" s="319"/>
      <c r="DF9" s="319"/>
      <c r="DG9" s="319"/>
      <c r="DH9" s="319"/>
      <c r="DI9" s="319"/>
      <c r="DJ9" s="319"/>
      <c r="DK9" s="319"/>
    </row>
    <row r="10" spans="1:115" x14ac:dyDescent="0.25">
      <c r="A10" s="313" t="s">
        <v>242</v>
      </c>
      <c r="B10" s="322" t="s">
        <v>475</v>
      </c>
      <c r="C10" s="319"/>
      <c r="D10" s="318"/>
      <c r="E10" s="318"/>
      <c r="F10" s="326"/>
      <c r="G10" s="326"/>
      <c r="H10" s="323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8"/>
      <c r="Y10" s="323"/>
      <c r="Z10" s="319"/>
      <c r="AA10" s="319"/>
      <c r="AB10" s="319"/>
      <c r="AC10" s="323"/>
      <c r="AD10" s="319"/>
      <c r="AE10" s="319"/>
      <c r="AF10" s="319"/>
      <c r="AG10" s="319"/>
      <c r="AH10" s="319"/>
      <c r="AI10" s="319"/>
      <c r="AJ10" s="319"/>
      <c r="AK10" s="319"/>
      <c r="AL10" s="319"/>
      <c r="AM10" s="318"/>
      <c r="AN10" s="323"/>
      <c r="AO10" s="319"/>
      <c r="AP10" s="319"/>
      <c r="AQ10" s="319"/>
      <c r="AR10" s="319"/>
      <c r="AS10" s="319"/>
      <c r="AT10" s="319"/>
      <c r="AU10" s="318"/>
      <c r="AV10" s="323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23"/>
      <c r="BJ10" s="319"/>
      <c r="BK10" s="319"/>
      <c r="BL10" s="319"/>
      <c r="BM10" s="319"/>
      <c r="BN10" s="319"/>
      <c r="BO10" s="319"/>
      <c r="BP10" s="319"/>
      <c r="BQ10" s="319"/>
      <c r="BR10" s="319"/>
      <c r="BS10" s="323"/>
      <c r="BT10" s="319"/>
      <c r="BU10" s="319"/>
      <c r="BV10" s="319"/>
      <c r="BW10" s="319"/>
      <c r="BX10" s="319"/>
      <c r="BY10" s="319"/>
      <c r="BZ10" s="319"/>
      <c r="CA10" s="319"/>
      <c r="CB10" s="319"/>
      <c r="CC10" s="318"/>
      <c r="CD10" s="323"/>
      <c r="CE10" s="319"/>
      <c r="CF10" s="319"/>
      <c r="CG10" s="319"/>
      <c r="CH10" s="319"/>
      <c r="CI10" s="318"/>
      <c r="CJ10" s="323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8"/>
      <c r="CY10" s="323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</row>
    <row r="11" spans="1:115" x14ac:dyDescent="0.25">
      <c r="A11" s="313" t="s">
        <v>243</v>
      </c>
      <c r="B11" s="322" t="s">
        <v>475</v>
      </c>
      <c r="C11" s="319"/>
      <c r="D11" s="318"/>
      <c r="E11" s="318"/>
      <c r="F11" s="326"/>
      <c r="G11" s="326"/>
      <c r="H11" s="323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8"/>
      <c r="Y11" s="323"/>
      <c r="Z11" s="319"/>
      <c r="AA11" s="319"/>
      <c r="AB11" s="319"/>
      <c r="AC11" s="323"/>
      <c r="AD11" s="319"/>
      <c r="AE11" s="319"/>
      <c r="AF11" s="319"/>
      <c r="AG11" s="319"/>
      <c r="AH11" s="319"/>
      <c r="AI11" s="319"/>
      <c r="AJ11" s="319"/>
      <c r="AK11" s="319"/>
      <c r="AL11" s="319"/>
      <c r="AM11" s="318"/>
      <c r="AN11" s="323"/>
      <c r="AO11" s="319"/>
      <c r="AP11" s="319"/>
      <c r="AQ11" s="319"/>
      <c r="AR11" s="319"/>
      <c r="AS11" s="319"/>
      <c r="AT11" s="319"/>
      <c r="AU11" s="318"/>
      <c r="AV11" s="323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23"/>
      <c r="BJ11" s="319"/>
      <c r="BK11" s="319"/>
      <c r="BL11" s="319"/>
      <c r="BM11" s="319"/>
      <c r="BN11" s="319"/>
      <c r="BO11" s="319"/>
      <c r="BP11" s="319"/>
      <c r="BQ11" s="319"/>
      <c r="BR11" s="319"/>
      <c r="BS11" s="323"/>
      <c r="BT11" s="319"/>
      <c r="BU11" s="319"/>
      <c r="BV11" s="319"/>
      <c r="BW11" s="319"/>
      <c r="BX11" s="319"/>
      <c r="BY11" s="319"/>
      <c r="BZ11" s="319"/>
      <c r="CA11" s="319"/>
      <c r="CB11" s="319"/>
      <c r="CC11" s="318"/>
      <c r="CD11" s="323"/>
      <c r="CE11" s="319"/>
      <c r="CF11" s="319"/>
      <c r="CG11" s="319"/>
      <c r="CH11" s="319"/>
      <c r="CI11" s="318"/>
      <c r="CJ11" s="323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8"/>
      <c r="CY11" s="323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</row>
    <row r="12" spans="1:115" x14ac:dyDescent="0.25">
      <c r="A12" s="313" t="s">
        <v>244</v>
      </c>
      <c r="B12" s="322" t="s">
        <v>475</v>
      </c>
      <c r="C12" s="319"/>
      <c r="D12" s="318"/>
      <c r="E12" s="318"/>
      <c r="F12" s="326"/>
      <c r="G12" s="326"/>
      <c r="H12" s="323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8"/>
      <c r="Y12" s="323"/>
      <c r="Z12" s="319"/>
      <c r="AA12" s="319"/>
      <c r="AB12" s="319"/>
      <c r="AC12" s="323"/>
      <c r="AD12" s="319"/>
      <c r="AE12" s="319"/>
      <c r="AF12" s="319"/>
      <c r="AG12" s="319"/>
      <c r="AH12" s="319"/>
      <c r="AI12" s="319"/>
      <c r="AJ12" s="319"/>
      <c r="AK12" s="319"/>
      <c r="AL12" s="319"/>
      <c r="AM12" s="318"/>
      <c r="AN12" s="323"/>
      <c r="AO12" s="319"/>
      <c r="AP12" s="319"/>
      <c r="AQ12" s="319"/>
      <c r="AR12" s="319"/>
      <c r="AS12" s="319"/>
      <c r="AT12" s="319"/>
      <c r="AU12" s="318"/>
      <c r="AV12" s="323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23"/>
      <c r="BJ12" s="319"/>
      <c r="BK12" s="319"/>
      <c r="BL12" s="319"/>
      <c r="BM12" s="319"/>
      <c r="BN12" s="319"/>
      <c r="BO12" s="319"/>
      <c r="BP12" s="319"/>
      <c r="BQ12" s="319"/>
      <c r="BR12" s="319"/>
      <c r="BS12" s="323"/>
      <c r="BT12" s="319"/>
      <c r="BU12" s="319"/>
      <c r="BV12" s="319"/>
      <c r="BW12" s="319"/>
      <c r="BX12" s="319"/>
      <c r="BY12" s="319"/>
      <c r="BZ12" s="319"/>
      <c r="CA12" s="319"/>
      <c r="CB12" s="319"/>
      <c r="CC12" s="318"/>
      <c r="CD12" s="323"/>
      <c r="CE12" s="319"/>
      <c r="CF12" s="319"/>
      <c r="CG12" s="319"/>
      <c r="CH12" s="319"/>
      <c r="CI12" s="318"/>
      <c r="CJ12" s="323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8"/>
      <c r="CY12" s="323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</row>
    <row r="13" spans="1:115" x14ac:dyDescent="0.25">
      <c r="A13" s="313" t="s">
        <v>245</v>
      </c>
      <c r="B13" s="322" t="s">
        <v>475</v>
      </c>
      <c r="C13" s="319"/>
      <c r="D13" s="318"/>
      <c r="E13" s="318"/>
      <c r="F13" s="326"/>
      <c r="G13" s="326"/>
      <c r="H13" s="323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8"/>
      <c r="Y13" s="323"/>
      <c r="Z13" s="319"/>
      <c r="AA13" s="319"/>
      <c r="AB13" s="319"/>
      <c r="AC13" s="323"/>
      <c r="AD13" s="319"/>
      <c r="AE13" s="319"/>
      <c r="AF13" s="319"/>
      <c r="AG13" s="319"/>
      <c r="AH13" s="319"/>
      <c r="AI13" s="319"/>
      <c r="AJ13" s="319"/>
      <c r="AK13" s="319"/>
      <c r="AL13" s="319"/>
      <c r="AM13" s="318"/>
      <c r="AN13" s="323"/>
      <c r="AO13" s="319"/>
      <c r="AP13" s="319"/>
      <c r="AQ13" s="319"/>
      <c r="AR13" s="319"/>
      <c r="AS13" s="319"/>
      <c r="AT13" s="319"/>
      <c r="AU13" s="318"/>
      <c r="AV13" s="323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23"/>
      <c r="BJ13" s="319"/>
      <c r="BK13" s="319"/>
      <c r="BL13" s="319"/>
      <c r="BM13" s="319"/>
      <c r="BN13" s="319"/>
      <c r="BO13" s="319"/>
      <c r="BP13" s="319"/>
      <c r="BQ13" s="319"/>
      <c r="BR13" s="319"/>
      <c r="BS13" s="323"/>
      <c r="BT13" s="319"/>
      <c r="BU13" s="319"/>
      <c r="BV13" s="319"/>
      <c r="BW13" s="319"/>
      <c r="BX13" s="319"/>
      <c r="BY13" s="319"/>
      <c r="BZ13" s="319"/>
      <c r="CA13" s="319"/>
      <c r="CB13" s="319"/>
      <c r="CC13" s="318"/>
      <c r="CD13" s="323"/>
      <c r="CE13" s="319"/>
      <c r="CF13" s="319"/>
      <c r="CG13" s="319"/>
      <c r="CH13" s="319"/>
      <c r="CI13" s="318"/>
      <c r="CJ13" s="323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8"/>
      <c r="CY13" s="323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</row>
    <row r="14" spans="1:115" x14ac:dyDescent="0.25">
      <c r="A14" s="313" t="s">
        <v>246</v>
      </c>
      <c r="B14" s="322" t="s">
        <v>475</v>
      </c>
      <c r="C14" s="319"/>
      <c r="D14" s="318"/>
      <c r="E14" s="318"/>
      <c r="F14" s="326"/>
      <c r="G14" s="326"/>
      <c r="H14" s="323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8"/>
      <c r="Y14" s="323"/>
      <c r="Z14" s="319"/>
      <c r="AA14" s="319"/>
      <c r="AB14" s="319"/>
      <c r="AC14" s="323"/>
      <c r="AD14" s="319"/>
      <c r="AE14" s="319"/>
      <c r="AF14" s="319"/>
      <c r="AG14" s="319"/>
      <c r="AH14" s="319"/>
      <c r="AI14" s="319"/>
      <c r="AJ14" s="319"/>
      <c r="AK14" s="319"/>
      <c r="AL14" s="319"/>
      <c r="AM14" s="318"/>
      <c r="AN14" s="323"/>
      <c r="AO14" s="319"/>
      <c r="AP14" s="319"/>
      <c r="AQ14" s="319"/>
      <c r="AR14" s="319"/>
      <c r="AS14" s="319"/>
      <c r="AT14" s="319"/>
      <c r="AU14" s="318"/>
      <c r="AV14" s="323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23"/>
      <c r="BJ14" s="319"/>
      <c r="BK14" s="319"/>
      <c r="BL14" s="319"/>
      <c r="BM14" s="319"/>
      <c r="BN14" s="319"/>
      <c r="BO14" s="319"/>
      <c r="BP14" s="319"/>
      <c r="BQ14" s="319"/>
      <c r="BR14" s="319"/>
      <c r="BS14" s="323"/>
      <c r="BT14" s="319"/>
      <c r="BU14" s="319"/>
      <c r="BV14" s="319"/>
      <c r="BW14" s="319"/>
      <c r="BX14" s="319"/>
      <c r="BY14" s="319"/>
      <c r="BZ14" s="319"/>
      <c r="CA14" s="319"/>
      <c r="CB14" s="319"/>
      <c r="CC14" s="318"/>
      <c r="CD14" s="323"/>
      <c r="CE14" s="319"/>
      <c r="CF14" s="319"/>
      <c r="CG14" s="319"/>
      <c r="CH14" s="319"/>
      <c r="CI14" s="318"/>
      <c r="CJ14" s="323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8"/>
      <c r="CY14" s="323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</row>
    <row r="15" spans="1:115" x14ac:dyDescent="0.25">
      <c r="A15" s="313" t="s">
        <v>247</v>
      </c>
      <c r="B15" s="322" t="s">
        <v>475</v>
      </c>
      <c r="C15" s="319"/>
      <c r="D15" s="318"/>
      <c r="E15" s="318"/>
      <c r="F15" s="326"/>
      <c r="G15" s="326"/>
      <c r="H15" s="323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8"/>
      <c r="Y15" s="323"/>
      <c r="Z15" s="319"/>
      <c r="AA15" s="319"/>
      <c r="AB15" s="319"/>
      <c r="AC15" s="323"/>
      <c r="AD15" s="319"/>
      <c r="AE15" s="319"/>
      <c r="AF15" s="319"/>
      <c r="AG15" s="319"/>
      <c r="AH15" s="319"/>
      <c r="AI15" s="319"/>
      <c r="AJ15" s="319"/>
      <c r="AK15" s="319"/>
      <c r="AL15" s="319"/>
      <c r="AM15" s="318"/>
      <c r="AN15" s="323"/>
      <c r="AO15" s="319"/>
      <c r="AP15" s="319"/>
      <c r="AQ15" s="319"/>
      <c r="AR15" s="319"/>
      <c r="AS15" s="319"/>
      <c r="AT15" s="319"/>
      <c r="AU15" s="318"/>
      <c r="AV15" s="323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23"/>
      <c r="BJ15" s="319"/>
      <c r="BK15" s="319"/>
      <c r="BL15" s="319"/>
      <c r="BM15" s="319"/>
      <c r="BN15" s="319"/>
      <c r="BO15" s="319"/>
      <c r="BP15" s="319"/>
      <c r="BQ15" s="319"/>
      <c r="BR15" s="319"/>
      <c r="BS15" s="323"/>
      <c r="BT15" s="319"/>
      <c r="BU15" s="319"/>
      <c r="BV15" s="319"/>
      <c r="BW15" s="319"/>
      <c r="BX15" s="319"/>
      <c r="BY15" s="319"/>
      <c r="BZ15" s="319"/>
      <c r="CA15" s="319"/>
      <c r="CB15" s="319"/>
      <c r="CC15" s="318"/>
      <c r="CD15" s="323"/>
      <c r="CE15" s="319"/>
      <c r="CF15" s="319"/>
      <c r="CG15" s="319"/>
      <c r="CH15" s="319"/>
      <c r="CI15" s="318"/>
      <c r="CJ15" s="323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8"/>
      <c r="CY15" s="323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</row>
    <row r="16" spans="1:115" x14ac:dyDescent="0.25">
      <c r="A16" s="313" t="s">
        <v>248</v>
      </c>
      <c r="B16" s="322" t="s">
        <v>475</v>
      </c>
      <c r="C16" s="319"/>
      <c r="D16" s="318"/>
      <c r="E16" s="318"/>
      <c r="F16" s="326"/>
      <c r="G16" s="326"/>
      <c r="H16" s="323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8"/>
      <c r="Y16" s="323"/>
      <c r="Z16" s="319"/>
      <c r="AA16" s="319"/>
      <c r="AB16" s="319"/>
      <c r="AC16" s="323"/>
      <c r="AD16" s="319"/>
      <c r="AE16" s="319"/>
      <c r="AF16" s="319"/>
      <c r="AG16" s="319"/>
      <c r="AH16" s="319"/>
      <c r="AI16" s="319"/>
      <c r="AJ16" s="319"/>
      <c r="AK16" s="319"/>
      <c r="AL16" s="319"/>
      <c r="AM16" s="318"/>
      <c r="AN16" s="323"/>
      <c r="AO16" s="319"/>
      <c r="AP16" s="319"/>
      <c r="AQ16" s="319"/>
      <c r="AR16" s="319"/>
      <c r="AS16" s="319"/>
      <c r="AT16" s="319"/>
      <c r="AU16" s="318"/>
      <c r="AV16" s="323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23"/>
      <c r="BJ16" s="319"/>
      <c r="BK16" s="319"/>
      <c r="BL16" s="319"/>
      <c r="BM16" s="319"/>
      <c r="BN16" s="319"/>
      <c r="BO16" s="319"/>
      <c r="BP16" s="319"/>
      <c r="BQ16" s="319"/>
      <c r="BR16" s="319"/>
      <c r="BS16" s="323"/>
      <c r="BT16" s="319"/>
      <c r="BU16" s="319"/>
      <c r="BV16" s="319"/>
      <c r="BW16" s="319"/>
      <c r="BX16" s="319"/>
      <c r="BY16" s="319"/>
      <c r="BZ16" s="319"/>
      <c r="CA16" s="319"/>
      <c r="CB16" s="319"/>
      <c r="CC16" s="318"/>
      <c r="CD16" s="323"/>
      <c r="CE16" s="319"/>
      <c r="CF16" s="319"/>
      <c r="CG16" s="319"/>
      <c r="CH16" s="319"/>
      <c r="CI16" s="318"/>
      <c r="CJ16" s="323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8"/>
      <c r="CY16" s="323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</row>
    <row r="17" spans="1:115" x14ac:dyDescent="0.25">
      <c r="A17" s="313" t="s">
        <v>249</v>
      </c>
      <c r="B17" s="322" t="s">
        <v>475</v>
      </c>
      <c r="C17" s="319"/>
      <c r="D17" s="318"/>
      <c r="E17" s="318"/>
      <c r="F17" s="326"/>
      <c r="G17" s="326"/>
      <c r="H17" s="323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8"/>
      <c r="Y17" s="323"/>
      <c r="Z17" s="319"/>
      <c r="AA17" s="319"/>
      <c r="AB17" s="319"/>
      <c r="AC17" s="323"/>
      <c r="AD17" s="319"/>
      <c r="AE17" s="319"/>
      <c r="AF17" s="319"/>
      <c r="AG17" s="319"/>
      <c r="AH17" s="319"/>
      <c r="AI17" s="319"/>
      <c r="AJ17" s="319"/>
      <c r="AK17" s="319"/>
      <c r="AL17" s="319"/>
      <c r="AM17" s="318"/>
      <c r="AN17" s="323"/>
      <c r="AO17" s="319"/>
      <c r="AP17" s="319"/>
      <c r="AQ17" s="319"/>
      <c r="AR17" s="319"/>
      <c r="AS17" s="319"/>
      <c r="AT17" s="319"/>
      <c r="AU17" s="318"/>
      <c r="AV17" s="323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23"/>
      <c r="BJ17" s="319"/>
      <c r="BK17" s="319"/>
      <c r="BL17" s="319"/>
      <c r="BM17" s="319"/>
      <c r="BN17" s="319"/>
      <c r="BO17" s="319"/>
      <c r="BP17" s="319"/>
      <c r="BQ17" s="319"/>
      <c r="BR17" s="319"/>
      <c r="BS17" s="323"/>
      <c r="BT17" s="319"/>
      <c r="BU17" s="319"/>
      <c r="BV17" s="319"/>
      <c r="BW17" s="319"/>
      <c r="BX17" s="319"/>
      <c r="BY17" s="319"/>
      <c r="BZ17" s="319"/>
      <c r="CA17" s="319"/>
      <c r="CB17" s="319"/>
      <c r="CC17" s="318"/>
      <c r="CD17" s="323"/>
      <c r="CE17" s="319"/>
      <c r="CF17" s="319"/>
      <c r="CG17" s="319"/>
      <c r="CH17" s="319"/>
      <c r="CI17" s="318"/>
      <c r="CJ17" s="323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8"/>
      <c r="CY17" s="323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</row>
    <row r="18" spans="1:115" x14ac:dyDescent="0.25">
      <c r="A18" s="313" t="s">
        <v>250</v>
      </c>
      <c r="B18" s="322" t="s">
        <v>475</v>
      </c>
      <c r="C18" s="319"/>
      <c r="D18" s="318"/>
      <c r="E18" s="318"/>
      <c r="F18" s="326"/>
      <c r="G18" s="326"/>
      <c r="H18" s="323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8"/>
      <c r="Y18" s="323"/>
      <c r="Z18" s="319"/>
      <c r="AA18" s="319"/>
      <c r="AB18" s="319"/>
      <c r="AC18" s="323"/>
      <c r="AD18" s="319"/>
      <c r="AE18" s="319"/>
      <c r="AF18" s="319"/>
      <c r="AG18" s="319"/>
      <c r="AH18" s="319"/>
      <c r="AI18" s="319"/>
      <c r="AJ18" s="319"/>
      <c r="AK18" s="319"/>
      <c r="AL18" s="319"/>
      <c r="AM18" s="318"/>
      <c r="AN18" s="323"/>
      <c r="AO18" s="319"/>
      <c r="AP18" s="319"/>
      <c r="AQ18" s="319"/>
      <c r="AR18" s="319"/>
      <c r="AS18" s="319"/>
      <c r="AT18" s="319"/>
      <c r="AU18" s="318"/>
      <c r="AV18" s="323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23"/>
      <c r="BJ18" s="319"/>
      <c r="BK18" s="319"/>
      <c r="BL18" s="319"/>
      <c r="BM18" s="319"/>
      <c r="BN18" s="319"/>
      <c r="BO18" s="319"/>
      <c r="BP18" s="319"/>
      <c r="BQ18" s="319"/>
      <c r="BR18" s="319"/>
      <c r="BS18" s="323"/>
      <c r="BT18" s="319"/>
      <c r="BU18" s="319"/>
      <c r="BV18" s="319"/>
      <c r="BW18" s="319"/>
      <c r="BX18" s="319"/>
      <c r="BY18" s="319"/>
      <c r="BZ18" s="319"/>
      <c r="CA18" s="319"/>
      <c r="CB18" s="319"/>
      <c r="CC18" s="318"/>
      <c r="CD18" s="323"/>
      <c r="CE18" s="319"/>
      <c r="CF18" s="319"/>
      <c r="CG18" s="319"/>
      <c r="CH18" s="319"/>
      <c r="CI18" s="318"/>
      <c r="CJ18" s="323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8"/>
      <c r="CY18" s="323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</row>
    <row r="19" spans="1:115" x14ac:dyDescent="0.25">
      <c r="A19" s="313" t="s">
        <v>251</v>
      </c>
      <c r="B19" s="322" t="s">
        <v>475</v>
      </c>
      <c r="C19" s="319"/>
      <c r="D19" s="318"/>
      <c r="E19" s="318"/>
      <c r="F19" s="326"/>
      <c r="G19" s="326"/>
      <c r="H19" s="323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8"/>
      <c r="Y19" s="323"/>
      <c r="Z19" s="319"/>
      <c r="AA19" s="319"/>
      <c r="AB19" s="319"/>
      <c r="AC19" s="323"/>
      <c r="AD19" s="319"/>
      <c r="AE19" s="319"/>
      <c r="AF19" s="319"/>
      <c r="AG19" s="319"/>
      <c r="AH19" s="319"/>
      <c r="AI19" s="319"/>
      <c r="AJ19" s="319"/>
      <c r="AK19" s="319"/>
      <c r="AL19" s="319"/>
      <c r="AM19" s="318"/>
      <c r="AN19" s="323"/>
      <c r="AO19" s="319"/>
      <c r="AP19" s="319"/>
      <c r="AQ19" s="319"/>
      <c r="AR19" s="319"/>
      <c r="AS19" s="319"/>
      <c r="AT19" s="319"/>
      <c r="AU19" s="318"/>
      <c r="AV19" s="323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23"/>
      <c r="BJ19" s="319"/>
      <c r="BK19" s="319"/>
      <c r="BL19" s="319"/>
      <c r="BM19" s="319"/>
      <c r="BN19" s="319"/>
      <c r="BO19" s="319"/>
      <c r="BP19" s="319"/>
      <c r="BQ19" s="319"/>
      <c r="BR19" s="319"/>
      <c r="BS19" s="323"/>
      <c r="BT19" s="319"/>
      <c r="BU19" s="319"/>
      <c r="BV19" s="319"/>
      <c r="BW19" s="319"/>
      <c r="BX19" s="319"/>
      <c r="BY19" s="319"/>
      <c r="BZ19" s="319"/>
      <c r="CA19" s="319"/>
      <c r="CB19" s="319"/>
      <c r="CC19" s="318"/>
      <c r="CD19" s="323"/>
      <c r="CE19" s="319"/>
      <c r="CF19" s="319"/>
      <c r="CG19" s="319"/>
      <c r="CH19" s="319"/>
      <c r="CI19" s="318"/>
      <c r="CJ19" s="323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8"/>
      <c r="CY19" s="323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</row>
    <row r="20" spans="1:115" x14ac:dyDescent="0.25">
      <c r="A20" s="313" t="s">
        <v>252</v>
      </c>
      <c r="B20" s="322" t="s">
        <v>475</v>
      </c>
      <c r="C20" s="319"/>
      <c r="D20" s="318"/>
      <c r="E20" s="318"/>
      <c r="F20" s="326"/>
      <c r="G20" s="326"/>
      <c r="H20" s="323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8"/>
      <c r="Y20" s="323"/>
      <c r="Z20" s="319"/>
      <c r="AA20" s="319"/>
      <c r="AB20" s="319"/>
      <c r="AC20" s="323"/>
      <c r="AD20" s="319"/>
      <c r="AE20" s="319"/>
      <c r="AF20" s="319"/>
      <c r="AG20" s="319"/>
      <c r="AH20" s="319"/>
      <c r="AI20" s="319"/>
      <c r="AJ20" s="319"/>
      <c r="AK20" s="319"/>
      <c r="AL20" s="319"/>
      <c r="AM20" s="318"/>
      <c r="AN20" s="323"/>
      <c r="AO20" s="319"/>
      <c r="AP20" s="319"/>
      <c r="AQ20" s="319"/>
      <c r="AR20" s="319"/>
      <c r="AS20" s="319"/>
      <c r="AT20" s="319"/>
      <c r="AU20" s="318"/>
      <c r="AV20" s="323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23"/>
      <c r="BJ20" s="319"/>
      <c r="BK20" s="319"/>
      <c r="BL20" s="319"/>
      <c r="BM20" s="319"/>
      <c r="BN20" s="319"/>
      <c r="BO20" s="319"/>
      <c r="BP20" s="319"/>
      <c r="BQ20" s="319"/>
      <c r="BR20" s="319"/>
      <c r="BS20" s="323"/>
      <c r="BT20" s="319"/>
      <c r="BU20" s="319"/>
      <c r="BV20" s="319"/>
      <c r="BW20" s="319"/>
      <c r="BX20" s="319"/>
      <c r="BY20" s="319"/>
      <c r="BZ20" s="319"/>
      <c r="CA20" s="319"/>
      <c r="CB20" s="319"/>
      <c r="CC20" s="318"/>
      <c r="CD20" s="323"/>
      <c r="CE20" s="319"/>
      <c r="CF20" s="319"/>
      <c r="CG20" s="319"/>
      <c r="CH20" s="319"/>
      <c r="CI20" s="318"/>
      <c r="CJ20" s="323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8"/>
      <c r="CY20" s="323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</row>
    <row r="21" spans="1:115" x14ac:dyDescent="0.25">
      <c r="A21" s="313" t="s">
        <v>253</v>
      </c>
      <c r="B21" s="322" t="s">
        <v>475</v>
      </c>
      <c r="C21" s="319"/>
      <c r="D21" s="318"/>
      <c r="E21" s="318"/>
      <c r="F21" s="326"/>
      <c r="G21" s="326"/>
      <c r="H21" s="323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8"/>
      <c r="Y21" s="323"/>
      <c r="Z21" s="319"/>
      <c r="AA21" s="319"/>
      <c r="AB21" s="319"/>
      <c r="AC21" s="323"/>
      <c r="AD21" s="319"/>
      <c r="AE21" s="319"/>
      <c r="AF21" s="319"/>
      <c r="AG21" s="319"/>
      <c r="AH21" s="319"/>
      <c r="AI21" s="319"/>
      <c r="AJ21" s="319"/>
      <c r="AK21" s="319"/>
      <c r="AL21" s="319"/>
      <c r="AM21" s="318"/>
      <c r="AN21" s="323"/>
      <c r="AO21" s="319"/>
      <c r="AP21" s="319"/>
      <c r="AQ21" s="319"/>
      <c r="AR21" s="319"/>
      <c r="AS21" s="319"/>
      <c r="AT21" s="319"/>
      <c r="AU21" s="318"/>
      <c r="AV21" s="323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23"/>
      <c r="BJ21" s="319"/>
      <c r="BK21" s="319"/>
      <c r="BL21" s="319"/>
      <c r="BM21" s="319"/>
      <c r="BN21" s="319"/>
      <c r="BO21" s="319"/>
      <c r="BP21" s="319"/>
      <c r="BQ21" s="319"/>
      <c r="BR21" s="319"/>
      <c r="BS21" s="323"/>
      <c r="BT21" s="319"/>
      <c r="BU21" s="319"/>
      <c r="BV21" s="319"/>
      <c r="BW21" s="319"/>
      <c r="BX21" s="319"/>
      <c r="BY21" s="319"/>
      <c r="BZ21" s="319"/>
      <c r="CA21" s="319"/>
      <c r="CB21" s="319"/>
      <c r="CC21" s="318"/>
      <c r="CD21" s="323"/>
      <c r="CE21" s="319"/>
      <c r="CF21" s="319"/>
      <c r="CG21" s="319"/>
      <c r="CH21" s="319"/>
      <c r="CI21" s="318"/>
      <c r="CJ21" s="323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8"/>
      <c r="CY21" s="323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</row>
    <row r="22" spans="1:115" x14ac:dyDescent="0.25">
      <c r="A22" s="313" t="s">
        <v>254</v>
      </c>
      <c r="B22" s="322" t="s">
        <v>475</v>
      </c>
      <c r="C22" s="319"/>
      <c r="D22" s="318"/>
      <c r="E22" s="318"/>
      <c r="F22" s="326"/>
      <c r="G22" s="326"/>
      <c r="H22" s="323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8"/>
      <c r="Y22" s="323"/>
      <c r="Z22" s="319"/>
      <c r="AA22" s="319"/>
      <c r="AB22" s="319"/>
      <c r="AC22" s="323"/>
      <c r="AD22" s="319"/>
      <c r="AE22" s="319"/>
      <c r="AF22" s="319"/>
      <c r="AG22" s="319"/>
      <c r="AH22" s="319"/>
      <c r="AI22" s="319"/>
      <c r="AJ22" s="319"/>
      <c r="AK22" s="319"/>
      <c r="AL22" s="319"/>
      <c r="AM22" s="318"/>
      <c r="AN22" s="323"/>
      <c r="AO22" s="319"/>
      <c r="AP22" s="319"/>
      <c r="AQ22" s="319"/>
      <c r="AR22" s="319"/>
      <c r="AS22" s="319"/>
      <c r="AT22" s="319"/>
      <c r="AU22" s="318"/>
      <c r="AV22" s="323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23"/>
      <c r="BJ22" s="319"/>
      <c r="BK22" s="319"/>
      <c r="BL22" s="319"/>
      <c r="BM22" s="319"/>
      <c r="BN22" s="319"/>
      <c r="BO22" s="319"/>
      <c r="BP22" s="319"/>
      <c r="BQ22" s="319"/>
      <c r="BR22" s="319"/>
      <c r="BS22" s="323"/>
      <c r="BT22" s="319"/>
      <c r="BU22" s="319"/>
      <c r="BV22" s="319"/>
      <c r="BW22" s="319"/>
      <c r="BX22" s="319"/>
      <c r="BY22" s="319"/>
      <c r="BZ22" s="319"/>
      <c r="CA22" s="319"/>
      <c r="CB22" s="319"/>
      <c r="CC22" s="318"/>
      <c r="CD22" s="323"/>
      <c r="CE22" s="319"/>
      <c r="CF22" s="319"/>
      <c r="CG22" s="319"/>
      <c r="CH22" s="319"/>
      <c r="CI22" s="318"/>
      <c r="CJ22" s="323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8"/>
      <c r="CY22" s="323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</row>
    <row r="23" spans="1:115" x14ac:dyDescent="0.25">
      <c r="A23" s="313" t="s">
        <v>255</v>
      </c>
      <c r="B23" s="322" t="s">
        <v>475</v>
      </c>
      <c r="C23" s="319"/>
      <c r="D23" s="318"/>
      <c r="E23" s="318"/>
      <c r="F23" s="326"/>
      <c r="G23" s="326"/>
      <c r="H23" s="323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8"/>
      <c r="Y23" s="323"/>
      <c r="Z23" s="319"/>
      <c r="AA23" s="319"/>
      <c r="AB23" s="319"/>
      <c r="AC23" s="323"/>
      <c r="AD23" s="319"/>
      <c r="AE23" s="319"/>
      <c r="AF23" s="319"/>
      <c r="AG23" s="319"/>
      <c r="AH23" s="319"/>
      <c r="AI23" s="319"/>
      <c r="AJ23" s="319"/>
      <c r="AK23" s="319"/>
      <c r="AL23" s="319"/>
      <c r="AM23" s="318"/>
      <c r="AN23" s="323"/>
      <c r="AO23" s="319"/>
      <c r="AP23" s="319"/>
      <c r="AQ23" s="319"/>
      <c r="AR23" s="319"/>
      <c r="AS23" s="319"/>
      <c r="AT23" s="319"/>
      <c r="AU23" s="318"/>
      <c r="AV23" s="323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23"/>
      <c r="BJ23" s="319"/>
      <c r="BK23" s="319"/>
      <c r="BL23" s="319"/>
      <c r="BM23" s="319"/>
      <c r="BN23" s="319"/>
      <c r="BO23" s="319"/>
      <c r="BP23" s="319"/>
      <c r="BQ23" s="319"/>
      <c r="BR23" s="319"/>
      <c r="BS23" s="323"/>
      <c r="BT23" s="319"/>
      <c r="BU23" s="319"/>
      <c r="BV23" s="319"/>
      <c r="BW23" s="319"/>
      <c r="BX23" s="319"/>
      <c r="BY23" s="319"/>
      <c r="BZ23" s="319"/>
      <c r="CA23" s="319"/>
      <c r="CB23" s="319"/>
      <c r="CC23" s="318"/>
      <c r="CD23" s="323"/>
      <c r="CE23" s="319"/>
      <c r="CF23" s="319"/>
      <c r="CG23" s="319"/>
      <c r="CH23" s="319"/>
      <c r="CI23" s="318"/>
      <c r="CJ23" s="323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8"/>
      <c r="CY23" s="323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</row>
    <row r="24" spans="1:115" x14ac:dyDescent="0.25">
      <c r="A24" s="313" t="s">
        <v>256</v>
      </c>
      <c r="B24" s="322" t="s">
        <v>475</v>
      </c>
      <c r="C24" s="319"/>
      <c r="D24" s="318"/>
      <c r="E24" s="318"/>
      <c r="F24" s="326"/>
      <c r="G24" s="326"/>
      <c r="H24" s="323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8"/>
      <c r="Y24" s="323"/>
      <c r="Z24" s="319"/>
      <c r="AA24" s="319"/>
      <c r="AB24" s="319"/>
      <c r="AC24" s="323"/>
      <c r="AD24" s="319"/>
      <c r="AE24" s="319"/>
      <c r="AF24" s="319"/>
      <c r="AG24" s="319"/>
      <c r="AH24" s="319"/>
      <c r="AI24" s="319"/>
      <c r="AJ24" s="319"/>
      <c r="AK24" s="319"/>
      <c r="AL24" s="319"/>
      <c r="AM24" s="318"/>
      <c r="AN24" s="323"/>
      <c r="AO24" s="319"/>
      <c r="AP24" s="319"/>
      <c r="AQ24" s="319"/>
      <c r="AR24" s="319"/>
      <c r="AS24" s="319"/>
      <c r="AT24" s="319"/>
      <c r="AU24" s="318"/>
      <c r="AV24" s="323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23"/>
      <c r="BJ24" s="319"/>
      <c r="BK24" s="319"/>
      <c r="BL24" s="319"/>
      <c r="BM24" s="319"/>
      <c r="BN24" s="319"/>
      <c r="BO24" s="319"/>
      <c r="BP24" s="319"/>
      <c r="BQ24" s="319"/>
      <c r="BR24" s="319"/>
      <c r="BS24" s="323"/>
      <c r="BT24" s="319"/>
      <c r="BU24" s="319"/>
      <c r="BV24" s="319"/>
      <c r="BW24" s="319"/>
      <c r="BX24" s="319"/>
      <c r="BY24" s="319"/>
      <c r="BZ24" s="319"/>
      <c r="CA24" s="319"/>
      <c r="CB24" s="319"/>
      <c r="CC24" s="318"/>
      <c r="CD24" s="323"/>
      <c r="CE24" s="319"/>
      <c r="CF24" s="319"/>
      <c r="CG24" s="319"/>
      <c r="CH24" s="319"/>
      <c r="CI24" s="318"/>
      <c r="CJ24" s="323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8"/>
      <c r="CY24" s="323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</row>
    <row r="25" spans="1:115" x14ac:dyDescent="0.25">
      <c r="A25" s="313" t="s">
        <v>257</v>
      </c>
      <c r="B25" s="322" t="s">
        <v>475</v>
      </c>
      <c r="C25" s="319"/>
      <c r="D25" s="318"/>
      <c r="E25" s="318"/>
      <c r="F25" s="326"/>
      <c r="G25" s="326"/>
      <c r="H25" s="323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8"/>
      <c r="Y25" s="323"/>
      <c r="Z25" s="319"/>
      <c r="AA25" s="319"/>
      <c r="AB25" s="319"/>
      <c r="AC25" s="323"/>
      <c r="AD25" s="319"/>
      <c r="AE25" s="319"/>
      <c r="AF25" s="319"/>
      <c r="AG25" s="319"/>
      <c r="AH25" s="319"/>
      <c r="AI25" s="319"/>
      <c r="AJ25" s="319"/>
      <c r="AK25" s="319"/>
      <c r="AL25" s="319"/>
      <c r="AM25" s="318"/>
      <c r="AN25" s="323"/>
      <c r="AO25" s="319"/>
      <c r="AP25" s="319"/>
      <c r="AQ25" s="319"/>
      <c r="AR25" s="319"/>
      <c r="AS25" s="319"/>
      <c r="AT25" s="319"/>
      <c r="AU25" s="318"/>
      <c r="AV25" s="323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23"/>
      <c r="BJ25" s="319"/>
      <c r="BK25" s="319"/>
      <c r="BL25" s="319"/>
      <c r="BM25" s="319"/>
      <c r="BN25" s="319"/>
      <c r="BO25" s="319"/>
      <c r="BP25" s="319"/>
      <c r="BQ25" s="319"/>
      <c r="BR25" s="319"/>
      <c r="BS25" s="323"/>
      <c r="BT25" s="319"/>
      <c r="BU25" s="319"/>
      <c r="BV25" s="319"/>
      <c r="BW25" s="319"/>
      <c r="BX25" s="319"/>
      <c r="BY25" s="319"/>
      <c r="BZ25" s="319"/>
      <c r="CA25" s="319"/>
      <c r="CB25" s="319"/>
      <c r="CC25" s="318"/>
      <c r="CD25" s="323"/>
      <c r="CE25" s="319"/>
      <c r="CF25" s="319"/>
      <c r="CG25" s="319"/>
      <c r="CH25" s="319"/>
      <c r="CI25" s="318"/>
      <c r="CJ25" s="323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8"/>
      <c r="CY25" s="323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</row>
    <row r="26" spans="1:115" x14ac:dyDescent="0.25">
      <c r="A26" s="313" t="s">
        <v>258</v>
      </c>
      <c r="B26" s="322" t="s">
        <v>475</v>
      </c>
      <c r="C26" s="319"/>
      <c r="D26" s="318"/>
      <c r="E26" s="318"/>
      <c r="F26" s="326"/>
      <c r="G26" s="326"/>
      <c r="H26" s="323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8"/>
      <c r="Y26" s="323"/>
      <c r="Z26" s="319"/>
      <c r="AA26" s="319"/>
      <c r="AB26" s="319"/>
      <c r="AC26" s="323"/>
      <c r="AD26" s="319"/>
      <c r="AE26" s="319"/>
      <c r="AF26" s="319"/>
      <c r="AG26" s="319"/>
      <c r="AH26" s="319"/>
      <c r="AI26" s="319"/>
      <c r="AJ26" s="319"/>
      <c r="AK26" s="319"/>
      <c r="AL26" s="319"/>
      <c r="AM26" s="318"/>
      <c r="AN26" s="323"/>
      <c r="AO26" s="319"/>
      <c r="AP26" s="319"/>
      <c r="AQ26" s="319"/>
      <c r="AR26" s="319"/>
      <c r="AS26" s="319"/>
      <c r="AT26" s="319"/>
      <c r="AU26" s="318"/>
      <c r="AV26" s="323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23"/>
      <c r="BJ26" s="319"/>
      <c r="BK26" s="319"/>
      <c r="BL26" s="319"/>
      <c r="BM26" s="319"/>
      <c r="BN26" s="319"/>
      <c r="BO26" s="319"/>
      <c r="BP26" s="319"/>
      <c r="BQ26" s="319"/>
      <c r="BR26" s="319"/>
      <c r="BS26" s="323"/>
      <c r="BT26" s="319"/>
      <c r="BU26" s="319"/>
      <c r="BV26" s="319"/>
      <c r="BW26" s="319"/>
      <c r="BX26" s="319"/>
      <c r="BY26" s="319"/>
      <c r="BZ26" s="319"/>
      <c r="CA26" s="319"/>
      <c r="CB26" s="319"/>
      <c r="CC26" s="318"/>
      <c r="CD26" s="323"/>
      <c r="CE26" s="319"/>
      <c r="CF26" s="319"/>
      <c r="CG26" s="319"/>
      <c r="CH26" s="319"/>
      <c r="CI26" s="318"/>
      <c r="CJ26" s="323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8"/>
      <c r="CY26" s="323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</row>
    <row r="27" spans="1:115" x14ac:dyDescent="0.25">
      <c r="A27" s="313" t="s">
        <v>259</v>
      </c>
      <c r="B27" s="322" t="s">
        <v>475</v>
      </c>
      <c r="C27" s="319"/>
      <c r="D27" s="318"/>
      <c r="E27" s="318"/>
      <c r="F27" s="326"/>
      <c r="G27" s="326"/>
      <c r="H27" s="323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8"/>
      <c r="Y27" s="323"/>
      <c r="Z27" s="319"/>
      <c r="AA27" s="319"/>
      <c r="AB27" s="319"/>
      <c r="AC27" s="323"/>
      <c r="AD27" s="319"/>
      <c r="AE27" s="319"/>
      <c r="AF27" s="319"/>
      <c r="AG27" s="319"/>
      <c r="AH27" s="319"/>
      <c r="AI27" s="319"/>
      <c r="AJ27" s="319"/>
      <c r="AK27" s="319"/>
      <c r="AL27" s="319"/>
      <c r="AM27" s="318"/>
      <c r="AN27" s="323"/>
      <c r="AO27" s="319"/>
      <c r="AP27" s="319"/>
      <c r="AQ27" s="319"/>
      <c r="AR27" s="319"/>
      <c r="AS27" s="319"/>
      <c r="AT27" s="319"/>
      <c r="AU27" s="318"/>
      <c r="AV27" s="323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23"/>
      <c r="BJ27" s="319"/>
      <c r="BK27" s="319"/>
      <c r="BL27" s="319"/>
      <c r="BM27" s="319"/>
      <c r="BN27" s="319"/>
      <c r="BO27" s="319"/>
      <c r="BP27" s="319"/>
      <c r="BQ27" s="319"/>
      <c r="BR27" s="319"/>
      <c r="BS27" s="323"/>
      <c r="BT27" s="319"/>
      <c r="BU27" s="319"/>
      <c r="BV27" s="319"/>
      <c r="BW27" s="319"/>
      <c r="BX27" s="319"/>
      <c r="BY27" s="319"/>
      <c r="BZ27" s="319"/>
      <c r="CA27" s="319"/>
      <c r="CB27" s="319"/>
      <c r="CC27" s="318"/>
      <c r="CD27" s="323"/>
      <c r="CE27" s="319"/>
      <c r="CF27" s="319"/>
      <c r="CG27" s="319"/>
      <c r="CH27" s="319"/>
      <c r="CI27" s="318"/>
      <c r="CJ27" s="323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8"/>
      <c r="CY27" s="323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</row>
    <row r="28" spans="1:115" x14ac:dyDescent="0.25">
      <c r="A28" s="313" t="s">
        <v>260</v>
      </c>
      <c r="B28" s="322" t="s">
        <v>475</v>
      </c>
      <c r="C28" s="319"/>
      <c r="D28" s="318"/>
      <c r="E28" s="318"/>
      <c r="F28" s="326"/>
      <c r="G28" s="326"/>
      <c r="H28" s="323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8"/>
      <c r="Y28" s="323"/>
      <c r="Z28" s="319"/>
      <c r="AA28" s="319"/>
      <c r="AB28" s="319"/>
      <c r="AC28" s="323"/>
      <c r="AD28" s="319"/>
      <c r="AE28" s="319"/>
      <c r="AF28" s="319"/>
      <c r="AG28" s="319"/>
      <c r="AH28" s="319"/>
      <c r="AI28" s="319"/>
      <c r="AJ28" s="319"/>
      <c r="AK28" s="319"/>
      <c r="AL28" s="319"/>
      <c r="AM28" s="318"/>
      <c r="AN28" s="323"/>
      <c r="AO28" s="319"/>
      <c r="AP28" s="319"/>
      <c r="AQ28" s="319"/>
      <c r="AR28" s="319"/>
      <c r="AS28" s="319"/>
      <c r="AT28" s="319"/>
      <c r="AU28" s="318"/>
      <c r="AV28" s="323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23"/>
      <c r="BJ28" s="319"/>
      <c r="BK28" s="319"/>
      <c r="BL28" s="319"/>
      <c r="BM28" s="319"/>
      <c r="BN28" s="319"/>
      <c r="BO28" s="319"/>
      <c r="BP28" s="319"/>
      <c r="BQ28" s="319"/>
      <c r="BR28" s="319"/>
      <c r="BS28" s="323"/>
      <c r="BT28" s="319"/>
      <c r="BU28" s="319"/>
      <c r="BV28" s="319"/>
      <c r="BW28" s="319"/>
      <c r="BX28" s="319"/>
      <c r="BY28" s="319"/>
      <c r="BZ28" s="319"/>
      <c r="CA28" s="319"/>
      <c r="CB28" s="319"/>
      <c r="CC28" s="318"/>
      <c r="CD28" s="323"/>
      <c r="CE28" s="319"/>
      <c r="CF28" s="319"/>
      <c r="CG28" s="319"/>
      <c r="CH28" s="319"/>
      <c r="CI28" s="318"/>
      <c r="CJ28" s="323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8"/>
      <c r="CY28" s="323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</row>
    <row r="29" spans="1:115" x14ac:dyDescent="0.25">
      <c r="A29" s="313" t="s">
        <v>261</v>
      </c>
      <c r="B29" s="322" t="s">
        <v>475</v>
      </c>
      <c r="C29" s="319"/>
      <c r="D29" s="318"/>
      <c r="E29" s="318"/>
      <c r="F29" s="326"/>
      <c r="G29" s="326"/>
      <c r="H29" s="323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8"/>
      <c r="Y29" s="323"/>
      <c r="Z29" s="319"/>
      <c r="AA29" s="319"/>
      <c r="AB29" s="319"/>
      <c r="AC29" s="323"/>
      <c r="AD29" s="319"/>
      <c r="AE29" s="319"/>
      <c r="AF29" s="319"/>
      <c r="AG29" s="319"/>
      <c r="AH29" s="319"/>
      <c r="AI29" s="319"/>
      <c r="AJ29" s="319"/>
      <c r="AK29" s="319"/>
      <c r="AL29" s="319"/>
      <c r="AM29" s="318"/>
      <c r="AN29" s="323"/>
      <c r="AO29" s="319"/>
      <c r="AP29" s="319"/>
      <c r="AQ29" s="319"/>
      <c r="AR29" s="319"/>
      <c r="AS29" s="319"/>
      <c r="AT29" s="319"/>
      <c r="AU29" s="318"/>
      <c r="AV29" s="323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23"/>
      <c r="BJ29" s="319"/>
      <c r="BK29" s="319"/>
      <c r="BL29" s="319"/>
      <c r="BM29" s="319"/>
      <c r="BN29" s="319"/>
      <c r="BO29" s="319"/>
      <c r="BP29" s="319"/>
      <c r="BQ29" s="319"/>
      <c r="BR29" s="319"/>
      <c r="BS29" s="323"/>
      <c r="BT29" s="319"/>
      <c r="BU29" s="319"/>
      <c r="BV29" s="319"/>
      <c r="BW29" s="319"/>
      <c r="BX29" s="319"/>
      <c r="BY29" s="319"/>
      <c r="BZ29" s="319"/>
      <c r="CA29" s="319"/>
      <c r="CB29" s="319"/>
      <c r="CC29" s="318"/>
      <c r="CD29" s="323"/>
      <c r="CE29" s="319"/>
      <c r="CF29" s="319"/>
      <c r="CG29" s="319"/>
      <c r="CH29" s="319"/>
      <c r="CI29" s="318"/>
      <c r="CJ29" s="323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8"/>
      <c r="CY29" s="323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</row>
    <row r="30" spans="1:115" x14ac:dyDescent="0.25">
      <c r="A30" s="313" t="s">
        <v>262</v>
      </c>
      <c r="B30" s="322" t="s">
        <v>475</v>
      </c>
      <c r="C30" s="319"/>
      <c r="D30" s="318"/>
      <c r="E30" s="318"/>
      <c r="F30" s="326"/>
      <c r="G30" s="326"/>
      <c r="H30" s="323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8"/>
      <c r="Y30" s="323"/>
      <c r="Z30" s="319"/>
      <c r="AA30" s="319"/>
      <c r="AB30" s="319"/>
      <c r="AC30" s="323"/>
      <c r="AD30" s="319"/>
      <c r="AE30" s="319"/>
      <c r="AF30" s="319"/>
      <c r="AG30" s="319"/>
      <c r="AH30" s="319"/>
      <c r="AI30" s="319"/>
      <c r="AJ30" s="319"/>
      <c r="AK30" s="319"/>
      <c r="AL30" s="319"/>
      <c r="AM30" s="318"/>
      <c r="AN30" s="323"/>
      <c r="AO30" s="319"/>
      <c r="AP30" s="319"/>
      <c r="AQ30" s="319"/>
      <c r="AR30" s="319"/>
      <c r="AS30" s="319"/>
      <c r="AT30" s="319"/>
      <c r="AU30" s="318"/>
      <c r="AV30" s="323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23"/>
      <c r="BJ30" s="319"/>
      <c r="BK30" s="319"/>
      <c r="BL30" s="319"/>
      <c r="BM30" s="319"/>
      <c r="BN30" s="319"/>
      <c r="BO30" s="319"/>
      <c r="BP30" s="319"/>
      <c r="BQ30" s="319"/>
      <c r="BR30" s="319"/>
      <c r="BS30" s="323"/>
      <c r="BT30" s="319"/>
      <c r="BU30" s="319"/>
      <c r="BV30" s="319"/>
      <c r="BW30" s="319"/>
      <c r="BX30" s="319"/>
      <c r="BY30" s="319"/>
      <c r="BZ30" s="319"/>
      <c r="CA30" s="319"/>
      <c r="CB30" s="319"/>
      <c r="CC30" s="318"/>
      <c r="CD30" s="323"/>
      <c r="CE30" s="319"/>
      <c r="CF30" s="319"/>
      <c r="CG30" s="319"/>
      <c r="CH30" s="319"/>
      <c r="CI30" s="318"/>
      <c r="CJ30" s="323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8"/>
      <c r="CY30" s="323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</row>
    <row r="31" spans="1:115" x14ac:dyDescent="0.25">
      <c r="A31" s="313" t="s">
        <v>263</v>
      </c>
      <c r="B31" s="322" t="s">
        <v>475</v>
      </c>
      <c r="C31" s="319"/>
      <c r="D31" s="318"/>
      <c r="E31" s="318"/>
      <c r="F31" s="326"/>
      <c r="G31" s="326"/>
      <c r="H31" s="323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8"/>
      <c r="Y31" s="323"/>
      <c r="Z31" s="319"/>
      <c r="AA31" s="319"/>
      <c r="AB31" s="319"/>
      <c r="AC31" s="323"/>
      <c r="AD31" s="319"/>
      <c r="AE31" s="319"/>
      <c r="AF31" s="319"/>
      <c r="AG31" s="319"/>
      <c r="AH31" s="319"/>
      <c r="AI31" s="319"/>
      <c r="AJ31" s="319"/>
      <c r="AK31" s="319"/>
      <c r="AL31" s="319"/>
      <c r="AM31" s="318"/>
      <c r="AN31" s="323"/>
      <c r="AO31" s="319"/>
      <c r="AP31" s="319"/>
      <c r="AQ31" s="319"/>
      <c r="AR31" s="319"/>
      <c r="AS31" s="319"/>
      <c r="AT31" s="319"/>
      <c r="AU31" s="318"/>
      <c r="AV31" s="323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23"/>
      <c r="BJ31" s="319"/>
      <c r="BK31" s="319"/>
      <c r="BL31" s="319"/>
      <c r="BM31" s="319"/>
      <c r="BN31" s="319"/>
      <c r="BO31" s="319"/>
      <c r="BP31" s="319"/>
      <c r="BQ31" s="319"/>
      <c r="BR31" s="319"/>
      <c r="BS31" s="323"/>
      <c r="BT31" s="319"/>
      <c r="BU31" s="319"/>
      <c r="BV31" s="319"/>
      <c r="BW31" s="319"/>
      <c r="BX31" s="319"/>
      <c r="BY31" s="319"/>
      <c r="BZ31" s="319"/>
      <c r="CA31" s="319"/>
      <c r="CB31" s="319"/>
      <c r="CC31" s="318"/>
      <c r="CD31" s="323"/>
      <c r="CE31" s="319"/>
      <c r="CF31" s="319"/>
      <c r="CG31" s="319"/>
      <c r="CH31" s="319"/>
      <c r="CI31" s="318"/>
      <c r="CJ31" s="323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8"/>
      <c r="CY31" s="323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</row>
    <row r="32" spans="1:115" x14ac:dyDescent="0.25">
      <c r="A32" s="313" t="s">
        <v>264</v>
      </c>
      <c r="B32" s="322" t="s">
        <v>475</v>
      </c>
      <c r="C32" s="319"/>
      <c r="D32" s="318"/>
      <c r="E32" s="318"/>
      <c r="F32" s="326"/>
      <c r="G32" s="326"/>
      <c r="H32" s="323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8"/>
      <c r="Y32" s="323"/>
      <c r="Z32" s="319"/>
      <c r="AA32" s="319"/>
      <c r="AB32" s="319"/>
      <c r="AC32" s="323"/>
      <c r="AD32" s="319"/>
      <c r="AE32" s="319"/>
      <c r="AF32" s="319"/>
      <c r="AG32" s="319"/>
      <c r="AH32" s="319"/>
      <c r="AI32" s="319"/>
      <c r="AJ32" s="319"/>
      <c r="AK32" s="319"/>
      <c r="AL32" s="319"/>
      <c r="AM32" s="318"/>
      <c r="AN32" s="323"/>
      <c r="AO32" s="319"/>
      <c r="AP32" s="319"/>
      <c r="AQ32" s="319"/>
      <c r="AR32" s="319"/>
      <c r="AS32" s="319"/>
      <c r="AT32" s="319"/>
      <c r="AU32" s="318"/>
      <c r="AV32" s="323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23"/>
      <c r="BJ32" s="319"/>
      <c r="BK32" s="319"/>
      <c r="BL32" s="319"/>
      <c r="BM32" s="319"/>
      <c r="BN32" s="319"/>
      <c r="BO32" s="319"/>
      <c r="BP32" s="319"/>
      <c r="BQ32" s="319"/>
      <c r="BR32" s="319"/>
      <c r="BS32" s="323"/>
      <c r="BT32" s="319"/>
      <c r="BU32" s="319"/>
      <c r="BV32" s="319"/>
      <c r="BW32" s="319"/>
      <c r="BX32" s="319"/>
      <c r="BY32" s="319"/>
      <c r="BZ32" s="319"/>
      <c r="CA32" s="319"/>
      <c r="CB32" s="319"/>
      <c r="CC32" s="318"/>
      <c r="CD32" s="323"/>
      <c r="CE32" s="319"/>
      <c r="CF32" s="319"/>
      <c r="CG32" s="319"/>
      <c r="CH32" s="319"/>
      <c r="CI32" s="318"/>
      <c r="CJ32" s="323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8"/>
      <c r="CY32" s="323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</row>
    <row r="33" spans="1:115" x14ac:dyDescent="0.25">
      <c r="A33" s="313" t="s">
        <v>265</v>
      </c>
      <c r="B33" s="322" t="s">
        <v>475</v>
      </c>
      <c r="C33" s="319"/>
      <c r="D33" s="318"/>
      <c r="E33" s="318"/>
      <c r="F33" s="326"/>
      <c r="G33" s="326"/>
      <c r="H33" s="323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8"/>
      <c r="Y33" s="323"/>
      <c r="Z33" s="319"/>
      <c r="AA33" s="319"/>
      <c r="AB33" s="319"/>
      <c r="AC33" s="323"/>
      <c r="AD33" s="319"/>
      <c r="AE33" s="319"/>
      <c r="AF33" s="319"/>
      <c r="AG33" s="319"/>
      <c r="AH33" s="319"/>
      <c r="AI33" s="319"/>
      <c r="AJ33" s="319"/>
      <c r="AK33" s="319"/>
      <c r="AL33" s="319"/>
      <c r="AM33" s="318"/>
      <c r="AN33" s="323"/>
      <c r="AO33" s="319"/>
      <c r="AP33" s="319"/>
      <c r="AQ33" s="319"/>
      <c r="AR33" s="319"/>
      <c r="AS33" s="319"/>
      <c r="AT33" s="319"/>
      <c r="AU33" s="318"/>
      <c r="AV33" s="323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23"/>
      <c r="BJ33" s="319"/>
      <c r="BK33" s="319"/>
      <c r="BL33" s="319"/>
      <c r="BM33" s="319"/>
      <c r="BN33" s="319"/>
      <c r="BO33" s="319"/>
      <c r="BP33" s="319"/>
      <c r="BQ33" s="319"/>
      <c r="BR33" s="319"/>
      <c r="BS33" s="323"/>
      <c r="BT33" s="319"/>
      <c r="BU33" s="319"/>
      <c r="BV33" s="319"/>
      <c r="BW33" s="319"/>
      <c r="BX33" s="319"/>
      <c r="BY33" s="319"/>
      <c r="BZ33" s="319"/>
      <c r="CA33" s="319"/>
      <c r="CB33" s="319"/>
      <c r="CC33" s="318"/>
      <c r="CD33" s="323"/>
      <c r="CE33" s="319"/>
      <c r="CF33" s="319"/>
      <c r="CG33" s="319"/>
      <c r="CH33" s="319"/>
      <c r="CI33" s="318"/>
      <c r="CJ33" s="323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8"/>
      <c r="CY33" s="323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</row>
    <row r="34" spans="1:115" ht="15.75" thickBot="1" x14ac:dyDescent="0.3">
      <c r="A34" s="314" t="s">
        <v>266</v>
      </c>
      <c r="B34" s="322" t="s">
        <v>475</v>
      </c>
      <c r="C34" s="315"/>
      <c r="D34" s="260"/>
      <c r="E34" s="260"/>
      <c r="F34" s="327"/>
      <c r="G34" s="327"/>
      <c r="H34" s="324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260"/>
      <c r="Y34" s="324"/>
      <c r="Z34" s="315"/>
      <c r="AA34" s="315"/>
      <c r="AB34" s="315"/>
      <c r="AC34" s="324"/>
      <c r="AD34" s="315"/>
      <c r="AE34" s="315"/>
      <c r="AF34" s="315"/>
      <c r="AG34" s="315"/>
      <c r="AH34" s="315"/>
      <c r="AI34" s="315"/>
      <c r="AJ34" s="315"/>
      <c r="AK34" s="315"/>
      <c r="AL34" s="315"/>
      <c r="AM34" s="260"/>
      <c r="AN34" s="324"/>
      <c r="AO34" s="315"/>
      <c r="AP34" s="315"/>
      <c r="AQ34" s="315"/>
      <c r="AR34" s="315"/>
      <c r="AS34" s="315"/>
      <c r="AT34" s="315"/>
      <c r="AU34" s="260"/>
      <c r="AV34" s="324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24"/>
      <c r="BJ34" s="315"/>
      <c r="BK34" s="315"/>
      <c r="BL34" s="315"/>
      <c r="BM34" s="315"/>
      <c r="BN34" s="315"/>
      <c r="BO34" s="315"/>
      <c r="BP34" s="315"/>
      <c r="BQ34" s="315"/>
      <c r="BR34" s="315"/>
      <c r="BS34" s="324"/>
      <c r="BT34" s="315"/>
      <c r="BU34" s="315"/>
      <c r="BV34" s="315"/>
      <c r="BW34" s="315"/>
      <c r="BX34" s="315"/>
      <c r="BY34" s="315"/>
      <c r="BZ34" s="315"/>
      <c r="CA34" s="315"/>
      <c r="CB34" s="315"/>
      <c r="CC34" s="260"/>
      <c r="CD34" s="324"/>
      <c r="CE34" s="315"/>
      <c r="CF34" s="315"/>
      <c r="CG34" s="315"/>
      <c r="CH34" s="315"/>
      <c r="CI34" s="260"/>
      <c r="CJ34" s="324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260"/>
      <c r="CY34" s="324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</row>
    <row r="37" spans="1:115" ht="15.75" thickBot="1" x14ac:dyDescent="0.3"/>
    <row r="38" spans="1:115" ht="206.25" thickBot="1" x14ac:dyDescent="0.3">
      <c r="A38" s="310" t="s">
        <v>267</v>
      </c>
      <c r="B38" s="634" t="s">
        <v>370</v>
      </c>
      <c r="C38" s="635" t="s">
        <v>372</v>
      </c>
      <c r="D38" s="635" t="s">
        <v>373</v>
      </c>
      <c r="E38" s="635" t="s">
        <v>374</v>
      </c>
      <c r="F38" s="636" t="s">
        <v>375</v>
      </c>
      <c r="G38" s="636" t="s">
        <v>376</v>
      </c>
      <c r="H38" s="634" t="s">
        <v>371</v>
      </c>
      <c r="I38" s="637" t="s">
        <v>377</v>
      </c>
      <c r="J38" s="637" t="s">
        <v>378</v>
      </c>
      <c r="K38" s="637" t="s">
        <v>379</v>
      </c>
      <c r="L38" s="637" t="s">
        <v>380</v>
      </c>
      <c r="M38" s="637" t="s">
        <v>381</v>
      </c>
      <c r="N38" s="637" t="s">
        <v>382</v>
      </c>
      <c r="O38" s="637" t="s">
        <v>383</v>
      </c>
      <c r="P38" s="637" t="s">
        <v>384</v>
      </c>
      <c r="Q38" s="637" t="s">
        <v>385</v>
      </c>
      <c r="R38" s="637" t="s">
        <v>386</v>
      </c>
      <c r="S38" s="637" t="s">
        <v>387</v>
      </c>
      <c r="T38" s="637" t="s">
        <v>388</v>
      </c>
      <c r="U38" s="637" t="s">
        <v>389</v>
      </c>
      <c r="V38" s="637" t="s">
        <v>390</v>
      </c>
      <c r="W38" s="637" t="s">
        <v>391</v>
      </c>
      <c r="X38" s="638" t="s">
        <v>381</v>
      </c>
      <c r="Y38" s="634" t="s">
        <v>392</v>
      </c>
      <c r="Z38" s="637" t="s">
        <v>393</v>
      </c>
      <c r="AA38" s="637" t="s">
        <v>394</v>
      </c>
      <c r="AB38" s="637" t="s">
        <v>395</v>
      </c>
      <c r="AC38" s="634" t="s">
        <v>396</v>
      </c>
      <c r="AD38" s="637" t="s">
        <v>397</v>
      </c>
      <c r="AE38" s="637" t="s">
        <v>398</v>
      </c>
      <c r="AF38" s="637" t="s">
        <v>399</v>
      </c>
      <c r="AG38" s="637" t="s">
        <v>400</v>
      </c>
      <c r="AH38" s="637" t="s">
        <v>401</v>
      </c>
      <c r="AI38" s="637" t="s">
        <v>402</v>
      </c>
      <c r="AJ38" s="637" t="s">
        <v>403</v>
      </c>
      <c r="AK38" s="637" t="s">
        <v>372</v>
      </c>
      <c r="AL38" s="637" t="s">
        <v>404</v>
      </c>
      <c r="AM38" s="638" t="s">
        <v>375</v>
      </c>
      <c r="AN38" s="634" t="s">
        <v>405</v>
      </c>
      <c r="AO38" s="637" t="s">
        <v>406</v>
      </c>
      <c r="AP38" s="637" t="s">
        <v>407</v>
      </c>
      <c r="AQ38" s="637" t="s">
        <v>408</v>
      </c>
      <c r="AR38" s="637" t="s">
        <v>409</v>
      </c>
      <c r="AS38" s="637" t="s">
        <v>410</v>
      </c>
      <c r="AT38" s="637" t="s">
        <v>411</v>
      </c>
      <c r="AU38" s="638" t="s">
        <v>412</v>
      </c>
      <c r="AV38" s="634" t="s">
        <v>413</v>
      </c>
      <c r="AW38" s="637" t="s">
        <v>414</v>
      </c>
      <c r="AX38" s="637" t="s">
        <v>415</v>
      </c>
      <c r="AY38" s="637" t="s">
        <v>416</v>
      </c>
      <c r="AZ38" s="637" t="s">
        <v>417</v>
      </c>
      <c r="BA38" s="637" t="s">
        <v>418</v>
      </c>
      <c r="BB38" s="637" t="s">
        <v>419</v>
      </c>
      <c r="BC38" s="637" t="s">
        <v>420</v>
      </c>
      <c r="BD38" s="637" t="s">
        <v>421</v>
      </c>
      <c r="BE38" s="637" t="s">
        <v>422</v>
      </c>
      <c r="BF38" s="637" t="s">
        <v>423</v>
      </c>
      <c r="BG38" s="637" t="s">
        <v>424</v>
      </c>
      <c r="BH38" s="637" t="s">
        <v>425</v>
      </c>
      <c r="BI38" s="634" t="s">
        <v>426</v>
      </c>
      <c r="BJ38" s="637" t="s">
        <v>427</v>
      </c>
      <c r="BK38" s="637" t="s">
        <v>428</v>
      </c>
      <c r="BL38" s="637" t="s">
        <v>429</v>
      </c>
      <c r="BM38" s="637" t="s">
        <v>430</v>
      </c>
      <c r="BN38" s="637" t="s">
        <v>431</v>
      </c>
      <c r="BO38" s="637" t="s">
        <v>432</v>
      </c>
      <c r="BP38" s="637" t="s">
        <v>433</v>
      </c>
      <c r="BQ38" s="637" t="s">
        <v>434</v>
      </c>
      <c r="BR38" s="637" t="s">
        <v>435</v>
      </c>
      <c r="BS38" s="634" t="s">
        <v>436</v>
      </c>
      <c r="BT38" s="637" t="s">
        <v>437</v>
      </c>
      <c r="BU38" s="637" t="s">
        <v>438</v>
      </c>
      <c r="BV38" s="637" t="s">
        <v>439</v>
      </c>
      <c r="BW38" s="637" t="s">
        <v>440</v>
      </c>
      <c r="BX38" s="637" t="s">
        <v>441</v>
      </c>
      <c r="BY38" s="637" t="s">
        <v>442</v>
      </c>
      <c r="BZ38" s="637" t="s">
        <v>442</v>
      </c>
      <c r="CA38" s="637" t="s">
        <v>443</v>
      </c>
      <c r="CB38" s="637" t="s">
        <v>444</v>
      </c>
      <c r="CC38" s="638" t="s">
        <v>445</v>
      </c>
      <c r="CD38" s="634" t="s">
        <v>446</v>
      </c>
      <c r="CE38" s="637" t="s">
        <v>447</v>
      </c>
      <c r="CF38" s="637" t="s">
        <v>448</v>
      </c>
      <c r="CG38" s="637" t="s">
        <v>449</v>
      </c>
      <c r="CH38" s="637" t="s">
        <v>450</v>
      </c>
      <c r="CI38" s="638" t="s">
        <v>451</v>
      </c>
      <c r="CJ38" s="634" t="s">
        <v>452</v>
      </c>
      <c r="CK38" s="637" t="s">
        <v>453</v>
      </c>
      <c r="CL38" s="637" t="s">
        <v>454</v>
      </c>
      <c r="CM38" s="637" t="s">
        <v>455</v>
      </c>
      <c r="CN38" s="637" t="s">
        <v>456</v>
      </c>
      <c r="CO38" s="637" t="s">
        <v>457</v>
      </c>
      <c r="CP38" s="637" t="s">
        <v>458</v>
      </c>
      <c r="CQ38" s="637" t="s">
        <v>459</v>
      </c>
      <c r="CR38" s="637" t="s">
        <v>425</v>
      </c>
      <c r="CS38" s="637" t="s">
        <v>460</v>
      </c>
      <c r="CT38" s="637" t="s">
        <v>461</v>
      </c>
      <c r="CU38" s="637" t="s">
        <v>462</v>
      </c>
      <c r="CV38" s="637" t="s">
        <v>463</v>
      </c>
      <c r="CW38" s="637" t="s">
        <v>464</v>
      </c>
      <c r="CX38" s="638" t="s">
        <v>465</v>
      </c>
      <c r="CY38" s="634" t="s">
        <v>466</v>
      </c>
      <c r="CZ38" s="637" t="s">
        <v>467</v>
      </c>
      <c r="DA38" s="637" t="s">
        <v>468</v>
      </c>
      <c r="DB38" s="637" t="s">
        <v>447</v>
      </c>
      <c r="DC38" s="637" t="s">
        <v>450</v>
      </c>
      <c r="DD38" s="637" t="s">
        <v>469</v>
      </c>
      <c r="DE38" s="637" t="s">
        <v>470</v>
      </c>
      <c r="DF38" s="637" t="s">
        <v>456</v>
      </c>
      <c r="DG38" s="637" t="s">
        <v>456</v>
      </c>
      <c r="DH38" s="637" t="s">
        <v>471</v>
      </c>
      <c r="DI38" s="637" t="s">
        <v>472</v>
      </c>
      <c r="DJ38" s="637" t="s">
        <v>473</v>
      </c>
      <c r="DK38" s="637" t="s">
        <v>474</v>
      </c>
    </row>
    <row r="39" spans="1:115" x14ac:dyDescent="0.25">
      <c r="A39" s="311" t="s">
        <v>175</v>
      </c>
      <c r="B39" s="321"/>
      <c r="C39" s="320"/>
      <c r="D39" s="317"/>
      <c r="E39" s="317"/>
      <c r="F39" s="325"/>
      <c r="G39" s="325"/>
      <c r="H39" s="328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17"/>
      <c r="Y39" s="328"/>
      <c r="Z39" s="320"/>
      <c r="AA39" s="320"/>
      <c r="AB39" s="320"/>
      <c r="AC39" s="328"/>
      <c r="AD39" s="320"/>
      <c r="AE39" s="320"/>
      <c r="AF39" s="320"/>
      <c r="AG39" s="320"/>
      <c r="AH39" s="320"/>
      <c r="AI39" s="320"/>
      <c r="AJ39" s="320"/>
      <c r="AK39" s="320"/>
      <c r="AL39" s="320"/>
      <c r="AM39" s="317"/>
      <c r="AN39" s="328"/>
      <c r="AO39" s="320"/>
      <c r="AP39" s="320"/>
      <c r="AQ39" s="320"/>
      <c r="AR39" s="320"/>
      <c r="AS39" s="320"/>
      <c r="AT39" s="320"/>
      <c r="AU39" s="317"/>
      <c r="AV39" s="328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8"/>
      <c r="BJ39" s="320"/>
      <c r="BK39" s="320"/>
      <c r="BL39" s="320"/>
      <c r="BM39" s="320"/>
      <c r="BN39" s="320"/>
      <c r="BO39" s="320"/>
      <c r="BP39" s="320"/>
      <c r="BQ39" s="320"/>
      <c r="BR39" s="320"/>
      <c r="BS39" s="328"/>
      <c r="BT39" s="320"/>
      <c r="BU39" s="320"/>
      <c r="BV39" s="320"/>
      <c r="BW39" s="320"/>
      <c r="BX39" s="320"/>
      <c r="BY39" s="320"/>
      <c r="BZ39" s="320"/>
      <c r="CA39" s="320"/>
      <c r="CB39" s="320"/>
      <c r="CC39" s="317"/>
      <c r="CD39" s="328"/>
      <c r="CE39" s="320"/>
      <c r="CF39" s="320"/>
      <c r="CG39" s="320"/>
      <c r="CH39" s="320"/>
      <c r="CI39" s="317"/>
      <c r="CJ39" s="328"/>
      <c r="CK39" s="320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17"/>
      <c r="CY39" s="328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320"/>
      <c r="DK39" s="320"/>
    </row>
    <row r="40" spans="1:115" x14ac:dyDescent="0.25">
      <c r="A40" s="312" t="s">
        <v>236</v>
      </c>
      <c r="B40" s="322"/>
      <c r="C40" s="319"/>
      <c r="D40" s="318"/>
      <c r="E40" s="318"/>
      <c r="F40" s="326"/>
      <c r="G40" s="326"/>
      <c r="H40" s="323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8"/>
      <c r="Y40" s="323"/>
      <c r="Z40" s="319"/>
      <c r="AA40" s="319"/>
      <c r="AB40" s="319"/>
      <c r="AC40" s="323"/>
      <c r="AD40" s="319"/>
      <c r="AE40" s="319"/>
      <c r="AF40" s="319"/>
      <c r="AG40" s="319"/>
      <c r="AH40" s="319"/>
      <c r="AI40" s="319"/>
      <c r="AJ40" s="319"/>
      <c r="AK40" s="319"/>
      <c r="AL40" s="319"/>
      <c r="AM40" s="318"/>
      <c r="AN40" s="323"/>
      <c r="AO40" s="319"/>
      <c r="AP40" s="319"/>
      <c r="AQ40" s="319"/>
      <c r="AR40" s="319"/>
      <c r="AS40" s="319"/>
      <c r="AT40" s="319"/>
      <c r="AU40" s="318"/>
      <c r="AV40" s="323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23"/>
      <c r="BJ40" s="319"/>
      <c r="BK40" s="319"/>
      <c r="BL40" s="319"/>
      <c r="BM40" s="319"/>
      <c r="BN40" s="319"/>
      <c r="BO40" s="319"/>
      <c r="BP40" s="319"/>
      <c r="BQ40" s="319"/>
      <c r="BR40" s="319"/>
      <c r="BS40" s="323"/>
      <c r="BT40" s="319"/>
      <c r="BU40" s="319"/>
      <c r="BV40" s="319"/>
      <c r="BW40" s="319"/>
      <c r="BX40" s="319"/>
      <c r="BY40" s="319"/>
      <c r="BZ40" s="319"/>
      <c r="CA40" s="319"/>
      <c r="CB40" s="319"/>
      <c r="CC40" s="318"/>
      <c r="CD40" s="323"/>
      <c r="CE40" s="319"/>
      <c r="CF40" s="319"/>
      <c r="CG40" s="319"/>
      <c r="CH40" s="319"/>
      <c r="CI40" s="318"/>
      <c r="CJ40" s="323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8"/>
      <c r="CY40" s="323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</row>
    <row r="41" spans="1:115" x14ac:dyDescent="0.25">
      <c r="A41" s="313" t="s">
        <v>237</v>
      </c>
      <c r="B41" s="322" t="s">
        <v>475</v>
      </c>
      <c r="C41" s="319"/>
      <c r="D41" s="318"/>
      <c r="E41" s="318"/>
      <c r="F41" s="326"/>
      <c r="G41" s="326"/>
      <c r="H41" s="323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8"/>
      <c r="Y41" s="323"/>
      <c r="Z41" s="319"/>
      <c r="AA41" s="319"/>
      <c r="AB41" s="319"/>
      <c r="AC41" s="323"/>
      <c r="AD41" s="319"/>
      <c r="AE41" s="319"/>
      <c r="AF41" s="319"/>
      <c r="AG41" s="319"/>
      <c r="AH41" s="319"/>
      <c r="AI41" s="319"/>
      <c r="AJ41" s="319"/>
      <c r="AK41" s="319"/>
      <c r="AL41" s="319"/>
      <c r="AM41" s="318"/>
      <c r="AN41" s="323"/>
      <c r="AO41" s="319"/>
      <c r="AP41" s="319"/>
      <c r="AQ41" s="319"/>
      <c r="AR41" s="319"/>
      <c r="AS41" s="319"/>
      <c r="AT41" s="319"/>
      <c r="AU41" s="318"/>
      <c r="AV41" s="323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23"/>
      <c r="BJ41" s="319"/>
      <c r="BK41" s="319"/>
      <c r="BL41" s="319"/>
      <c r="BM41" s="319"/>
      <c r="BN41" s="319"/>
      <c r="BO41" s="319"/>
      <c r="BP41" s="319"/>
      <c r="BQ41" s="319"/>
      <c r="BR41" s="319"/>
      <c r="BS41" s="323"/>
      <c r="BT41" s="319"/>
      <c r="BU41" s="319"/>
      <c r="BV41" s="319"/>
      <c r="BW41" s="319"/>
      <c r="BX41" s="319"/>
      <c r="BY41" s="319"/>
      <c r="BZ41" s="319"/>
      <c r="CA41" s="319"/>
      <c r="CB41" s="319"/>
      <c r="CC41" s="318"/>
      <c r="CD41" s="323"/>
      <c r="CE41" s="319"/>
      <c r="CF41" s="319"/>
      <c r="CG41" s="319"/>
      <c r="CH41" s="319"/>
      <c r="CI41" s="318"/>
      <c r="CJ41" s="323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8"/>
      <c r="CY41" s="323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</row>
    <row r="42" spans="1:115" x14ac:dyDescent="0.25">
      <c r="A42" s="313" t="s">
        <v>238</v>
      </c>
      <c r="B42" s="322" t="s">
        <v>475</v>
      </c>
      <c r="C42" s="319"/>
      <c r="D42" s="318"/>
      <c r="E42" s="318"/>
      <c r="F42" s="326"/>
      <c r="G42" s="326"/>
      <c r="H42" s="323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8"/>
      <c r="Y42" s="323"/>
      <c r="Z42" s="319"/>
      <c r="AA42" s="319"/>
      <c r="AB42" s="319"/>
      <c r="AC42" s="323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/>
      <c r="AN42" s="323"/>
      <c r="AO42" s="319"/>
      <c r="AP42" s="319"/>
      <c r="AQ42" s="319"/>
      <c r="AR42" s="319"/>
      <c r="AS42" s="319"/>
      <c r="AT42" s="319"/>
      <c r="AU42" s="318"/>
      <c r="AV42" s="323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23"/>
      <c r="BJ42" s="319"/>
      <c r="BK42" s="319"/>
      <c r="BL42" s="319"/>
      <c r="BM42" s="319"/>
      <c r="BN42" s="319"/>
      <c r="BO42" s="319"/>
      <c r="BP42" s="319"/>
      <c r="BQ42" s="319"/>
      <c r="BR42" s="319"/>
      <c r="BS42" s="323"/>
      <c r="BT42" s="319"/>
      <c r="BU42" s="319"/>
      <c r="BV42" s="319"/>
      <c r="BW42" s="319"/>
      <c r="BX42" s="319"/>
      <c r="BY42" s="319"/>
      <c r="BZ42" s="319"/>
      <c r="CA42" s="319"/>
      <c r="CB42" s="319"/>
      <c r="CC42" s="318"/>
      <c r="CD42" s="323"/>
      <c r="CE42" s="319"/>
      <c r="CF42" s="319"/>
      <c r="CG42" s="319"/>
      <c r="CH42" s="319"/>
      <c r="CI42" s="318"/>
      <c r="CJ42" s="323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8"/>
      <c r="CY42" s="323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</row>
    <row r="43" spans="1:115" x14ac:dyDescent="0.25">
      <c r="A43" s="313" t="s">
        <v>239</v>
      </c>
      <c r="B43" s="322" t="s">
        <v>475</v>
      </c>
      <c r="C43" s="319"/>
      <c r="D43" s="318"/>
      <c r="E43" s="318"/>
      <c r="F43" s="326"/>
      <c r="G43" s="326"/>
      <c r="H43" s="323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8"/>
      <c r="Y43" s="323"/>
      <c r="Z43" s="319"/>
      <c r="AA43" s="319"/>
      <c r="AB43" s="319"/>
      <c r="AC43" s="323"/>
      <c r="AD43" s="319"/>
      <c r="AE43" s="319"/>
      <c r="AF43" s="319"/>
      <c r="AG43" s="319"/>
      <c r="AH43" s="319"/>
      <c r="AI43" s="319"/>
      <c r="AJ43" s="319"/>
      <c r="AK43" s="319"/>
      <c r="AL43" s="319"/>
      <c r="AM43" s="318"/>
      <c r="AN43" s="323"/>
      <c r="AO43" s="319"/>
      <c r="AP43" s="319"/>
      <c r="AQ43" s="319"/>
      <c r="AR43" s="319"/>
      <c r="AS43" s="319"/>
      <c r="AT43" s="319"/>
      <c r="AU43" s="318"/>
      <c r="AV43" s="323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23"/>
      <c r="BJ43" s="319"/>
      <c r="BK43" s="319"/>
      <c r="BL43" s="319"/>
      <c r="BM43" s="319"/>
      <c r="BN43" s="319"/>
      <c r="BO43" s="319"/>
      <c r="BP43" s="319"/>
      <c r="BQ43" s="319"/>
      <c r="BR43" s="319"/>
      <c r="BS43" s="323"/>
      <c r="BT43" s="319"/>
      <c r="BU43" s="319"/>
      <c r="BV43" s="319"/>
      <c r="BW43" s="319"/>
      <c r="BX43" s="319"/>
      <c r="BY43" s="319"/>
      <c r="BZ43" s="319"/>
      <c r="CA43" s="319"/>
      <c r="CB43" s="319"/>
      <c r="CC43" s="318"/>
      <c r="CD43" s="323"/>
      <c r="CE43" s="319"/>
      <c r="CF43" s="319"/>
      <c r="CG43" s="319"/>
      <c r="CH43" s="319"/>
      <c r="CI43" s="318"/>
      <c r="CJ43" s="323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8"/>
      <c r="CY43" s="323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</row>
    <row r="44" spans="1:115" x14ac:dyDescent="0.25">
      <c r="A44" s="313" t="s">
        <v>240</v>
      </c>
      <c r="B44" s="322" t="s">
        <v>475</v>
      </c>
      <c r="C44" s="319"/>
      <c r="D44" s="318"/>
      <c r="E44" s="318"/>
      <c r="F44" s="326"/>
      <c r="G44" s="326"/>
      <c r="H44" s="323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8"/>
      <c r="Y44" s="323"/>
      <c r="Z44" s="319"/>
      <c r="AA44" s="319"/>
      <c r="AB44" s="319"/>
      <c r="AC44" s="323"/>
      <c r="AD44" s="319"/>
      <c r="AE44" s="319"/>
      <c r="AF44" s="319"/>
      <c r="AG44" s="319"/>
      <c r="AH44" s="319"/>
      <c r="AI44" s="319"/>
      <c r="AJ44" s="319"/>
      <c r="AK44" s="319"/>
      <c r="AL44" s="319"/>
      <c r="AM44" s="318"/>
      <c r="AN44" s="323"/>
      <c r="AO44" s="319"/>
      <c r="AP44" s="319"/>
      <c r="AQ44" s="319"/>
      <c r="AR44" s="319"/>
      <c r="AS44" s="319"/>
      <c r="AT44" s="319"/>
      <c r="AU44" s="318"/>
      <c r="AV44" s="323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23"/>
      <c r="BJ44" s="319"/>
      <c r="BK44" s="319"/>
      <c r="BL44" s="319"/>
      <c r="BM44" s="319"/>
      <c r="BN44" s="319"/>
      <c r="BO44" s="319"/>
      <c r="BP44" s="319"/>
      <c r="BQ44" s="319"/>
      <c r="BR44" s="319"/>
      <c r="BS44" s="323"/>
      <c r="BT44" s="319"/>
      <c r="BU44" s="319"/>
      <c r="BV44" s="319"/>
      <c r="BW44" s="319"/>
      <c r="BX44" s="319"/>
      <c r="BY44" s="319"/>
      <c r="BZ44" s="319"/>
      <c r="CA44" s="319"/>
      <c r="CB44" s="319"/>
      <c r="CC44" s="318"/>
      <c r="CD44" s="323"/>
      <c r="CE44" s="319"/>
      <c r="CF44" s="319"/>
      <c r="CG44" s="319"/>
      <c r="CH44" s="319"/>
      <c r="CI44" s="318"/>
      <c r="CJ44" s="323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8"/>
      <c r="CY44" s="323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</row>
    <row r="45" spans="1:115" x14ac:dyDescent="0.25">
      <c r="A45" s="313" t="s">
        <v>241</v>
      </c>
      <c r="B45" s="322" t="s">
        <v>475</v>
      </c>
      <c r="C45" s="319"/>
      <c r="D45" s="318"/>
      <c r="E45" s="318"/>
      <c r="F45" s="326"/>
      <c r="G45" s="326"/>
      <c r="H45" s="323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8"/>
      <c r="Y45" s="323"/>
      <c r="Z45" s="319"/>
      <c r="AA45" s="319"/>
      <c r="AB45" s="319"/>
      <c r="AC45" s="323"/>
      <c r="AD45" s="319"/>
      <c r="AE45" s="319"/>
      <c r="AF45" s="319"/>
      <c r="AG45" s="319"/>
      <c r="AH45" s="319"/>
      <c r="AI45" s="319"/>
      <c r="AJ45" s="319"/>
      <c r="AK45" s="319"/>
      <c r="AL45" s="319"/>
      <c r="AM45" s="318"/>
      <c r="AN45" s="323"/>
      <c r="AO45" s="319"/>
      <c r="AP45" s="319"/>
      <c r="AQ45" s="319"/>
      <c r="AR45" s="319"/>
      <c r="AS45" s="319"/>
      <c r="AT45" s="319"/>
      <c r="AU45" s="318"/>
      <c r="AV45" s="323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23"/>
      <c r="BJ45" s="319"/>
      <c r="BK45" s="319"/>
      <c r="BL45" s="319"/>
      <c r="BM45" s="319"/>
      <c r="BN45" s="319"/>
      <c r="BO45" s="319"/>
      <c r="BP45" s="319"/>
      <c r="BQ45" s="319"/>
      <c r="BR45" s="319"/>
      <c r="BS45" s="323"/>
      <c r="BT45" s="319"/>
      <c r="BU45" s="319"/>
      <c r="BV45" s="319"/>
      <c r="BW45" s="319"/>
      <c r="BX45" s="319"/>
      <c r="BY45" s="319"/>
      <c r="BZ45" s="319"/>
      <c r="CA45" s="319"/>
      <c r="CB45" s="319"/>
      <c r="CC45" s="318"/>
      <c r="CD45" s="323"/>
      <c r="CE45" s="319"/>
      <c r="CF45" s="319"/>
      <c r="CG45" s="319"/>
      <c r="CH45" s="319"/>
      <c r="CI45" s="318"/>
      <c r="CJ45" s="323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8"/>
      <c r="CY45" s="323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</row>
    <row r="46" spans="1:115" x14ac:dyDescent="0.25">
      <c r="A46" s="313" t="s">
        <v>242</v>
      </c>
      <c r="B46" s="322" t="s">
        <v>475</v>
      </c>
      <c r="C46" s="319"/>
      <c r="D46" s="318"/>
      <c r="E46" s="318"/>
      <c r="F46" s="326"/>
      <c r="G46" s="326"/>
      <c r="H46" s="323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8"/>
      <c r="Y46" s="323"/>
      <c r="Z46" s="319"/>
      <c r="AA46" s="319"/>
      <c r="AB46" s="319"/>
      <c r="AC46" s="323"/>
      <c r="AD46" s="319"/>
      <c r="AE46" s="319"/>
      <c r="AF46" s="319"/>
      <c r="AG46" s="319"/>
      <c r="AH46" s="319"/>
      <c r="AI46" s="319"/>
      <c r="AJ46" s="319"/>
      <c r="AK46" s="319"/>
      <c r="AL46" s="319"/>
      <c r="AM46" s="318"/>
      <c r="AN46" s="323"/>
      <c r="AO46" s="319"/>
      <c r="AP46" s="319"/>
      <c r="AQ46" s="319"/>
      <c r="AR46" s="319"/>
      <c r="AS46" s="319"/>
      <c r="AT46" s="319"/>
      <c r="AU46" s="318"/>
      <c r="AV46" s="323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23"/>
      <c r="BJ46" s="319"/>
      <c r="BK46" s="319"/>
      <c r="BL46" s="319"/>
      <c r="BM46" s="319"/>
      <c r="BN46" s="319"/>
      <c r="BO46" s="319"/>
      <c r="BP46" s="319"/>
      <c r="BQ46" s="319"/>
      <c r="BR46" s="319"/>
      <c r="BS46" s="323"/>
      <c r="BT46" s="319"/>
      <c r="BU46" s="319"/>
      <c r="BV46" s="319"/>
      <c r="BW46" s="319"/>
      <c r="BX46" s="319"/>
      <c r="BY46" s="319"/>
      <c r="BZ46" s="319"/>
      <c r="CA46" s="319"/>
      <c r="CB46" s="319"/>
      <c r="CC46" s="318"/>
      <c r="CD46" s="323"/>
      <c r="CE46" s="319"/>
      <c r="CF46" s="319"/>
      <c r="CG46" s="319"/>
      <c r="CH46" s="319"/>
      <c r="CI46" s="318"/>
      <c r="CJ46" s="323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8"/>
      <c r="CY46" s="323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</row>
    <row r="47" spans="1:115" x14ac:dyDescent="0.25">
      <c r="A47" s="313" t="s">
        <v>243</v>
      </c>
      <c r="B47" s="322" t="s">
        <v>475</v>
      </c>
      <c r="C47" s="319"/>
      <c r="D47" s="318"/>
      <c r="E47" s="318"/>
      <c r="F47" s="326"/>
      <c r="G47" s="326"/>
      <c r="H47" s="323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8"/>
      <c r="Y47" s="323"/>
      <c r="Z47" s="319"/>
      <c r="AA47" s="319"/>
      <c r="AB47" s="319"/>
      <c r="AC47" s="323"/>
      <c r="AD47" s="319"/>
      <c r="AE47" s="319"/>
      <c r="AF47" s="319"/>
      <c r="AG47" s="319"/>
      <c r="AH47" s="319"/>
      <c r="AI47" s="319"/>
      <c r="AJ47" s="319"/>
      <c r="AK47" s="319"/>
      <c r="AL47" s="319"/>
      <c r="AM47" s="318"/>
      <c r="AN47" s="323"/>
      <c r="AO47" s="319"/>
      <c r="AP47" s="319"/>
      <c r="AQ47" s="319"/>
      <c r="AR47" s="319"/>
      <c r="AS47" s="319"/>
      <c r="AT47" s="319"/>
      <c r="AU47" s="318"/>
      <c r="AV47" s="323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23"/>
      <c r="BJ47" s="319"/>
      <c r="BK47" s="319"/>
      <c r="BL47" s="319"/>
      <c r="BM47" s="319"/>
      <c r="BN47" s="319"/>
      <c r="BO47" s="319"/>
      <c r="BP47" s="319"/>
      <c r="BQ47" s="319"/>
      <c r="BR47" s="319"/>
      <c r="BS47" s="323"/>
      <c r="BT47" s="319"/>
      <c r="BU47" s="319"/>
      <c r="BV47" s="319"/>
      <c r="BW47" s="319"/>
      <c r="BX47" s="319"/>
      <c r="BY47" s="319"/>
      <c r="BZ47" s="319"/>
      <c r="CA47" s="319"/>
      <c r="CB47" s="319"/>
      <c r="CC47" s="318"/>
      <c r="CD47" s="323"/>
      <c r="CE47" s="319"/>
      <c r="CF47" s="319"/>
      <c r="CG47" s="319"/>
      <c r="CH47" s="319"/>
      <c r="CI47" s="318"/>
      <c r="CJ47" s="323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8"/>
      <c r="CY47" s="323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</row>
    <row r="48" spans="1:115" x14ac:dyDescent="0.25">
      <c r="A48" s="313" t="s">
        <v>244</v>
      </c>
      <c r="B48" s="322" t="s">
        <v>475</v>
      </c>
      <c r="C48" s="319"/>
      <c r="D48" s="318"/>
      <c r="E48" s="318"/>
      <c r="F48" s="326"/>
      <c r="G48" s="326"/>
      <c r="H48" s="323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8"/>
      <c r="Y48" s="323"/>
      <c r="Z48" s="319"/>
      <c r="AA48" s="319"/>
      <c r="AB48" s="319"/>
      <c r="AC48" s="323"/>
      <c r="AD48" s="319"/>
      <c r="AE48" s="319"/>
      <c r="AF48" s="319"/>
      <c r="AG48" s="319"/>
      <c r="AH48" s="319"/>
      <c r="AI48" s="319"/>
      <c r="AJ48" s="319"/>
      <c r="AK48" s="319"/>
      <c r="AL48" s="319"/>
      <c r="AM48" s="318"/>
      <c r="AN48" s="323"/>
      <c r="AO48" s="319"/>
      <c r="AP48" s="319"/>
      <c r="AQ48" s="319"/>
      <c r="AR48" s="319"/>
      <c r="AS48" s="319"/>
      <c r="AT48" s="319"/>
      <c r="AU48" s="318"/>
      <c r="AV48" s="323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23"/>
      <c r="BJ48" s="319"/>
      <c r="BK48" s="319"/>
      <c r="BL48" s="319"/>
      <c r="BM48" s="319"/>
      <c r="BN48" s="319"/>
      <c r="BO48" s="319"/>
      <c r="BP48" s="319"/>
      <c r="BQ48" s="319"/>
      <c r="BR48" s="319"/>
      <c r="BS48" s="323"/>
      <c r="BT48" s="319"/>
      <c r="BU48" s="319"/>
      <c r="BV48" s="319"/>
      <c r="BW48" s="319"/>
      <c r="BX48" s="319"/>
      <c r="BY48" s="319"/>
      <c r="BZ48" s="319"/>
      <c r="CA48" s="319"/>
      <c r="CB48" s="319"/>
      <c r="CC48" s="318"/>
      <c r="CD48" s="323"/>
      <c r="CE48" s="319"/>
      <c r="CF48" s="319"/>
      <c r="CG48" s="319"/>
      <c r="CH48" s="319"/>
      <c r="CI48" s="318"/>
      <c r="CJ48" s="323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8"/>
      <c r="CY48" s="323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</row>
    <row r="49" spans="1:115" x14ac:dyDescent="0.25">
      <c r="A49" s="313" t="s">
        <v>245</v>
      </c>
      <c r="B49" s="322" t="s">
        <v>475</v>
      </c>
      <c r="C49" s="319"/>
      <c r="D49" s="318"/>
      <c r="E49" s="318"/>
      <c r="F49" s="326"/>
      <c r="G49" s="326"/>
      <c r="H49" s="323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8"/>
      <c r="Y49" s="323"/>
      <c r="Z49" s="319"/>
      <c r="AA49" s="319"/>
      <c r="AB49" s="319"/>
      <c r="AC49" s="323"/>
      <c r="AD49" s="319"/>
      <c r="AE49" s="319"/>
      <c r="AF49" s="319"/>
      <c r="AG49" s="319"/>
      <c r="AH49" s="319"/>
      <c r="AI49" s="319"/>
      <c r="AJ49" s="319"/>
      <c r="AK49" s="319"/>
      <c r="AL49" s="319"/>
      <c r="AM49" s="318"/>
      <c r="AN49" s="323"/>
      <c r="AO49" s="319"/>
      <c r="AP49" s="319"/>
      <c r="AQ49" s="319"/>
      <c r="AR49" s="319"/>
      <c r="AS49" s="319"/>
      <c r="AT49" s="319"/>
      <c r="AU49" s="318"/>
      <c r="AV49" s="323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23"/>
      <c r="BJ49" s="319"/>
      <c r="BK49" s="319"/>
      <c r="BL49" s="319"/>
      <c r="BM49" s="319"/>
      <c r="BN49" s="319"/>
      <c r="BO49" s="319"/>
      <c r="BP49" s="319"/>
      <c r="BQ49" s="319"/>
      <c r="BR49" s="319"/>
      <c r="BS49" s="323"/>
      <c r="BT49" s="319"/>
      <c r="BU49" s="319"/>
      <c r="BV49" s="319"/>
      <c r="BW49" s="319"/>
      <c r="BX49" s="319"/>
      <c r="BY49" s="319"/>
      <c r="BZ49" s="319"/>
      <c r="CA49" s="319"/>
      <c r="CB49" s="319"/>
      <c r="CC49" s="318"/>
      <c r="CD49" s="323"/>
      <c r="CE49" s="319"/>
      <c r="CF49" s="319"/>
      <c r="CG49" s="319"/>
      <c r="CH49" s="319"/>
      <c r="CI49" s="318"/>
      <c r="CJ49" s="323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8"/>
      <c r="CY49" s="323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</row>
    <row r="50" spans="1:115" x14ac:dyDescent="0.25">
      <c r="A50" s="313" t="s">
        <v>246</v>
      </c>
      <c r="B50" s="322" t="s">
        <v>475</v>
      </c>
      <c r="C50" s="319"/>
      <c r="D50" s="318"/>
      <c r="E50" s="318"/>
      <c r="F50" s="326"/>
      <c r="G50" s="326"/>
      <c r="H50" s="323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8"/>
      <c r="Y50" s="323"/>
      <c r="Z50" s="319"/>
      <c r="AA50" s="319"/>
      <c r="AB50" s="319"/>
      <c r="AC50" s="323"/>
      <c r="AD50" s="319"/>
      <c r="AE50" s="319"/>
      <c r="AF50" s="319"/>
      <c r="AG50" s="319"/>
      <c r="AH50" s="319"/>
      <c r="AI50" s="319"/>
      <c r="AJ50" s="319"/>
      <c r="AK50" s="319"/>
      <c r="AL50" s="319"/>
      <c r="AM50" s="318"/>
      <c r="AN50" s="323"/>
      <c r="AO50" s="319"/>
      <c r="AP50" s="319"/>
      <c r="AQ50" s="319"/>
      <c r="AR50" s="319"/>
      <c r="AS50" s="319"/>
      <c r="AT50" s="319"/>
      <c r="AU50" s="318"/>
      <c r="AV50" s="323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23"/>
      <c r="BJ50" s="319"/>
      <c r="BK50" s="319"/>
      <c r="BL50" s="319"/>
      <c r="BM50" s="319"/>
      <c r="BN50" s="319"/>
      <c r="BO50" s="319"/>
      <c r="BP50" s="319"/>
      <c r="BQ50" s="319"/>
      <c r="BR50" s="319"/>
      <c r="BS50" s="323"/>
      <c r="BT50" s="319"/>
      <c r="BU50" s="319"/>
      <c r="BV50" s="319"/>
      <c r="BW50" s="319"/>
      <c r="BX50" s="319"/>
      <c r="BY50" s="319"/>
      <c r="BZ50" s="319"/>
      <c r="CA50" s="319"/>
      <c r="CB50" s="319"/>
      <c r="CC50" s="318"/>
      <c r="CD50" s="323"/>
      <c r="CE50" s="319"/>
      <c r="CF50" s="319"/>
      <c r="CG50" s="319"/>
      <c r="CH50" s="319"/>
      <c r="CI50" s="318"/>
      <c r="CJ50" s="323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8"/>
      <c r="CY50" s="323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</row>
    <row r="51" spans="1:115" x14ac:dyDescent="0.25">
      <c r="A51" s="313" t="s">
        <v>247</v>
      </c>
      <c r="B51" s="322" t="s">
        <v>475</v>
      </c>
      <c r="C51" s="319"/>
      <c r="D51" s="318"/>
      <c r="E51" s="318"/>
      <c r="F51" s="326"/>
      <c r="G51" s="326"/>
      <c r="H51" s="323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8"/>
      <c r="Y51" s="323"/>
      <c r="Z51" s="319"/>
      <c r="AA51" s="319"/>
      <c r="AB51" s="319"/>
      <c r="AC51" s="323"/>
      <c r="AD51" s="319"/>
      <c r="AE51" s="319"/>
      <c r="AF51" s="319"/>
      <c r="AG51" s="319"/>
      <c r="AH51" s="319"/>
      <c r="AI51" s="319"/>
      <c r="AJ51" s="319"/>
      <c r="AK51" s="319"/>
      <c r="AL51" s="319"/>
      <c r="AM51" s="318"/>
      <c r="AN51" s="323"/>
      <c r="AO51" s="319"/>
      <c r="AP51" s="319"/>
      <c r="AQ51" s="319"/>
      <c r="AR51" s="319"/>
      <c r="AS51" s="319"/>
      <c r="AT51" s="319"/>
      <c r="AU51" s="318"/>
      <c r="AV51" s="323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23"/>
      <c r="BJ51" s="319"/>
      <c r="BK51" s="319"/>
      <c r="BL51" s="319"/>
      <c r="BM51" s="319"/>
      <c r="BN51" s="319"/>
      <c r="BO51" s="319"/>
      <c r="BP51" s="319"/>
      <c r="BQ51" s="319"/>
      <c r="BR51" s="319"/>
      <c r="BS51" s="323"/>
      <c r="BT51" s="319"/>
      <c r="BU51" s="319"/>
      <c r="BV51" s="319"/>
      <c r="BW51" s="319"/>
      <c r="BX51" s="319"/>
      <c r="BY51" s="319"/>
      <c r="BZ51" s="319"/>
      <c r="CA51" s="319"/>
      <c r="CB51" s="319"/>
      <c r="CC51" s="318"/>
      <c r="CD51" s="323"/>
      <c r="CE51" s="319"/>
      <c r="CF51" s="319"/>
      <c r="CG51" s="319"/>
      <c r="CH51" s="319"/>
      <c r="CI51" s="318"/>
      <c r="CJ51" s="323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8"/>
      <c r="CY51" s="323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</row>
    <row r="52" spans="1:115" x14ac:dyDescent="0.25">
      <c r="A52" s="313" t="s">
        <v>248</v>
      </c>
      <c r="B52" s="322" t="s">
        <v>475</v>
      </c>
      <c r="C52" s="319"/>
      <c r="D52" s="318"/>
      <c r="E52" s="318"/>
      <c r="F52" s="326"/>
      <c r="G52" s="326"/>
      <c r="H52" s="323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8"/>
      <c r="Y52" s="323"/>
      <c r="Z52" s="319"/>
      <c r="AA52" s="319"/>
      <c r="AB52" s="319"/>
      <c r="AC52" s="323"/>
      <c r="AD52" s="319"/>
      <c r="AE52" s="319"/>
      <c r="AF52" s="319"/>
      <c r="AG52" s="319"/>
      <c r="AH52" s="319"/>
      <c r="AI52" s="319"/>
      <c r="AJ52" s="319"/>
      <c r="AK52" s="319"/>
      <c r="AL52" s="319"/>
      <c r="AM52" s="318"/>
      <c r="AN52" s="323"/>
      <c r="AO52" s="319"/>
      <c r="AP52" s="319"/>
      <c r="AQ52" s="319"/>
      <c r="AR52" s="319"/>
      <c r="AS52" s="319"/>
      <c r="AT52" s="319"/>
      <c r="AU52" s="318"/>
      <c r="AV52" s="323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23"/>
      <c r="BJ52" s="319"/>
      <c r="BK52" s="319"/>
      <c r="BL52" s="319"/>
      <c r="BM52" s="319"/>
      <c r="BN52" s="319"/>
      <c r="BO52" s="319"/>
      <c r="BP52" s="319"/>
      <c r="BQ52" s="319"/>
      <c r="BR52" s="319"/>
      <c r="BS52" s="323"/>
      <c r="BT52" s="319"/>
      <c r="BU52" s="319"/>
      <c r="BV52" s="319"/>
      <c r="BW52" s="319"/>
      <c r="BX52" s="319"/>
      <c r="BY52" s="319"/>
      <c r="BZ52" s="319"/>
      <c r="CA52" s="319"/>
      <c r="CB52" s="319"/>
      <c r="CC52" s="318"/>
      <c r="CD52" s="323"/>
      <c r="CE52" s="319"/>
      <c r="CF52" s="319"/>
      <c r="CG52" s="319"/>
      <c r="CH52" s="319"/>
      <c r="CI52" s="318"/>
      <c r="CJ52" s="323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8"/>
      <c r="CY52" s="323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</row>
    <row r="53" spans="1:115" x14ac:dyDescent="0.25">
      <c r="A53" s="313" t="s">
        <v>249</v>
      </c>
      <c r="B53" s="322" t="s">
        <v>475</v>
      </c>
      <c r="C53" s="319"/>
      <c r="D53" s="318"/>
      <c r="E53" s="318"/>
      <c r="F53" s="326"/>
      <c r="G53" s="326"/>
      <c r="H53" s="323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8"/>
      <c r="Y53" s="323"/>
      <c r="Z53" s="319"/>
      <c r="AA53" s="319"/>
      <c r="AB53" s="319"/>
      <c r="AC53" s="323"/>
      <c r="AD53" s="319"/>
      <c r="AE53" s="319"/>
      <c r="AF53" s="319"/>
      <c r="AG53" s="319"/>
      <c r="AH53" s="319"/>
      <c r="AI53" s="319"/>
      <c r="AJ53" s="319"/>
      <c r="AK53" s="319"/>
      <c r="AL53" s="319"/>
      <c r="AM53" s="318"/>
      <c r="AN53" s="323"/>
      <c r="AO53" s="319"/>
      <c r="AP53" s="319"/>
      <c r="AQ53" s="319"/>
      <c r="AR53" s="319"/>
      <c r="AS53" s="319"/>
      <c r="AT53" s="319"/>
      <c r="AU53" s="318"/>
      <c r="AV53" s="323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23"/>
      <c r="BJ53" s="319"/>
      <c r="BK53" s="319"/>
      <c r="BL53" s="319"/>
      <c r="BM53" s="319"/>
      <c r="BN53" s="319"/>
      <c r="BO53" s="319"/>
      <c r="BP53" s="319"/>
      <c r="BQ53" s="319"/>
      <c r="BR53" s="319"/>
      <c r="BS53" s="323"/>
      <c r="BT53" s="319"/>
      <c r="BU53" s="319"/>
      <c r="BV53" s="319"/>
      <c r="BW53" s="319"/>
      <c r="BX53" s="319"/>
      <c r="BY53" s="319"/>
      <c r="BZ53" s="319"/>
      <c r="CA53" s="319"/>
      <c r="CB53" s="319"/>
      <c r="CC53" s="318"/>
      <c r="CD53" s="323"/>
      <c r="CE53" s="319"/>
      <c r="CF53" s="319"/>
      <c r="CG53" s="319"/>
      <c r="CH53" s="319"/>
      <c r="CI53" s="318"/>
      <c r="CJ53" s="323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8"/>
      <c r="CY53" s="323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</row>
    <row r="54" spans="1:115" x14ac:dyDescent="0.25">
      <c r="A54" s="313" t="s">
        <v>250</v>
      </c>
      <c r="B54" s="322" t="s">
        <v>475</v>
      </c>
      <c r="C54" s="319"/>
      <c r="D54" s="318"/>
      <c r="E54" s="318"/>
      <c r="F54" s="326"/>
      <c r="G54" s="326"/>
      <c r="H54" s="323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8"/>
      <c r="Y54" s="323"/>
      <c r="Z54" s="319"/>
      <c r="AA54" s="319"/>
      <c r="AB54" s="319"/>
      <c r="AC54" s="323"/>
      <c r="AD54" s="319"/>
      <c r="AE54" s="319"/>
      <c r="AF54" s="319"/>
      <c r="AG54" s="319"/>
      <c r="AH54" s="319"/>
      <c r="AI54" s="319"/>
      <c r="AJ54" s="319"/>
      <c r="AK54" s="319"/>
      <c r="AL54" s="319"/>
      <c r="AM54" s="318"/>
      <c r="AN54" s="323"/>
      <c r="AO54" s="319"/>
      <c r="AP54" s="319"/>
      <c r="AQ54" s="319"/>
      <c r="AR54" s="319"/>
      <c r="AS54" s="319"/>
      <c r="AT54" s="319"/>
      <c r="AU54" s="318"/>
      <c r="AV54" s="323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23"/>
      <c r="BJ54" s="319"/>
      <c r="BK54" s="319"/>
      <c r="BL54" s="319"/>
      <c r="BM54" s="319"/>
      <c r="BN54" s="319"/>
      <c r="BO54" s="319"/>
      <c r="BP54" s="319"/>
      <c r="BQ54" s="319"/>
      <c r="BR54" s="319"/>
      <c r="BS54" s="323"/>
      <c r="BT54" s="319"/>
      <c r="BU54" s="319"/>
      <c r="BV54" s="319"/>
      <c r="BW54" s="319"/>
      <c r="BX54" s="319"/>
      <c r="BY54" s="319"/>
      <c r="BZ54" s="319"/>
      <c r="CA54" s="319"/>
      <c r="CB54" s="319"/>
      <c r="CC54" s="318"/>
      <c r="CD54" s="323"/>
      <c r="CE54" s="319"/>
      <c r="CF54" s="319"/>
      <c r="CG54" s="319"/>
      <c r="CH54" s="319"/>
      <c r="CI54" s="318"/>
      <c r="CJ54" s="323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8"/>
      <c r="CY54" s="323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</row>
    <row r="55" spans="1:115" x14ac:dyDescent="0.25">
      <c r="A55" s="313" t="s">
        <v>251</v>
      </c>
      <c r="B55" s="322" t="s">
        <v>475</v>
      </c>
      <c r="C55" s="319"/>
      <c r="D55" s="318"/>
      <c r="E55" s="318"/>
      <c r="F55" s="326"/>
      <c r="G55" s="326"/>
      <c r="H55" s="323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8"/>
      <c r="Y55" s="323"/>
      <c r="Z55" s="319"/>
      <c r="AA55" s="319"/>
      <c r="AB55" s="319"/>
      <c r="AC55" s="323"/>
      <c r="AD55" s="319"/>
      <c r="AE55" s="319"/>
      <c r="AF55" s="319"/>
      <c r="AG55" s="319"/>
      <c r="AH55" s="319"/>
      <c r="AI55" s="319"/>
      <c r="AJ55" s="319"/>
      <c r="AK55" s="319"/>
      <c r="AL55" s="319"/>
      <c r="AM55" s="318"/>
      <c r="AN55" s="323"/>
      <c r="AO55" s="319"/>
      <c r="AP55" s="319"/>
      <c r="AQ55" s="319"/>
      <c r="AR55" s="319"/>
      <c r="AS55" s="319"/>
      <c r="AT55" s="319"/>
      <c r="AU55" s="318"/>
      <c r="AV55" s="323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23"/>
      <c r="BJ55" s="319"/>
      <c r="BK55" s="319"/>
      <c r="BL55" s="319"/>
      <c r="BM55" s="319"/>
      <c r="BN55" s="319"/>
      <c r="BO55" s="319"/>
      <c r="BP55" s="319"/>
      <c r="BQ55" s="319"/>
      <c r="BR55" s="319"/>
      <c r="BS55" s="323"/>
      <c r="BT55" s="319"/>
      <c r="BU55" s="319"/>
      <c r="BV55" s="319"/>
      <c r="BW55" s="319"/>
      <c r="BX55" s="319"/>
      <c r="BY55" s="319"/>
      <c r="BZ55" s="319"/>
      <c r="CA55" s="319"/>
      <c r="CB55" s="319"/>
      <c r="CC55" s="318"/>
      <c r="CD55" s="323"/>
      <c r="CE55" s="319"/>
      <c r="CF55" s="319"/>
      <c r="CG55" s="319"/>
      <c r="CH55" s="319"/>
      <c r="CI55" s="318"/>
      <c r="CJ55" s="323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8"/>
      <c r="CY55" s="323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</row>
    <row r="56" spans="1:115" x14ac:dyDescent="0.25">
      <c r="A56" s="313" t="s">
        <v>252</v>
      </c>
      <c r="B56" s="322" t="s">
        <v>475</v>
      </c>
      <c r="C56" s="319"/>
      <c r="D56" s="318"/>
      <c r="E56" s="318"/>
      <c r="F56" s="326"/>
      <c r="G56" s="326"/>
      <c r="H56" s="323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8"/>
      <c r="Y56" s="323"/>
      <c r="Z56" s="319"/>
      <c r="AA56" s="319"/>
      <c r="AB56" s="319"/>
      <c r="AC56" s="323"/>
      <c r="AD56" s="319"/>
      <c r="AE56" s="319"/>
      <c r="AF56" s="319"/>
      <c r="AG56" s="319"/>
      <c r="AH56" s="319"/>
      <c r="AI56" s="319"/>
      <c r="AJ56" s="319"/>
      <c r="AK56" s="319"/>
      <c r="AL56" s="319"/>
      <c r="AM56" s="318"/>
      <c r="AN56" s="323"/>
      <c r="AO56" s="319"/>
      <c r="AP56" s="319"/>
      <c r="AQ56" s="319"/>
      <c r="AR56" s="319"/>
      <c r="AS56" s="319"/>
      <c r="AT56" s="319"/>
      <c r="AU56" s="318"/>
      <c r="AV56" s="323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23"/>
      <c r="BJ56" s="319"/>
      <c r="BK56" s="319"/>
      <c r="BL56" s="319"/>
      <c r="BM56" s="319"/>
      <c r="BN56" s="319"/>
      <c r="BO56" s="319"/>
      <c r="BP56" s="319"/>
      <c r="BQ56" s="319"/>
      <c r="BR56" s="319"/>
      <c r="BS56" s="323"/>
      <c r="BT56" s="319"/>
      <c r="BU56" s="319"/>
      <c r="BV56" s="319"/>
      <c r="BW56" s="319"/>
      <c r="BX56" s="319"/>
      <c r="BY56" s="319"/>
      <c r="BZ56" s="319"/>
      <c r="CA56" s="319"/>
      <c r="CB56" s="319"/>
      <c r="CC56" s="318"/>
      <c r="CD56" s="323"/>
      <c r="CE56" s="319"/>
      <c r="CF56" s="319"/>
      <c r="CG56" s="319"/>
      <c r="CH56" s="319"/>
      <c r="CI56" s="318"/>
      <c r="CJ56" s="323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8"/>
      <c r="CY56" s="323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</row>
    <row r="57" spans="1:115" x14ac:dyDescent="0.25">
      <c r="A57" s="313" t="s">
        <v>253</v>
      </c>
      <c r="B57" s="322" t="s">
        <v>475</v>
      </c>
      <c r="C57" s="319"/>
      <c r="D57" s="318"/>
      <c r="E57" s="318"/>
      <c r="F57" s="326"/>
      <c r="G57" s="326"/>
      <c r="H57" s="323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8"/>
      <c r="Y57" s="323"/>
      <c r="Z57" s="319"/>
      <c r="AA57" s="319"/>
      <c r="AB57" s="319"/>
      <c r="AC57" s="323"/>
      <c r="AD57" s="319"/>
      <c r="AE57" s="319"/>
      <c r="AF57" s="319"/>
      <c r="AG57" s="319"/>
      <c r="AH57" s="319"/>
      <c r="AI57" s="319"/>
      <c r="AJ57" s="319"/>
      <c r="AK57" s="319"/>
      <c r="AL57" s="319"/>
      <c r="AM57" s="318"/>
      <c r="AN57" s="323"/>
      <c r="AO57" s="319"/>
      <c r="AP57" s="319"/>
      <c r="AQ57" s="319"/>
      <c r="AR57" s="319"/>
      <c r="AS57" s="319"/>
      <c r="AT57" s="319"/>
      <c r="AU57" s="318"/>
      <c r="AV57" s="323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23"/>
      <c r="BJ57" s="319"/>
      <c r="BK57" s="319"/>
      <c r="BL57" s="319"/>
      <c r="BM57" s="319"/>
      <c r="BN57" s="319"/>
      <c r="BO57" s="319"/>
      <c r="BP57" s="319"/>
      <c r="BQ57" s="319"/>
      <c r="BR57" s="319"/>
      <c r="BS57" s="323"/>
      <c r="BT57" s="319"/>
      <c r="BU57" s="319"/>
      <c r="BV57" s="319"/>
      <c r="BW57" s="319"/>
      <c r="BX57" s="319"/>
      <c r="BY57" s="319"/>
      <c r="BZ57" s="319"/>
      <c r="CA57" s="319"/>
      <c r="CB57" s="319"/>
      <c r="CC57" s="318"/>
      <c r="CD57" s="323"/>
      <c r="CE57" s="319"/>
      <c r="CF57" s="319"/>
      <c r="CG57" s="319"/>
      <c r="CH57" s="319"/>
      <c r="CI57" s="318"/>
      <c r="CJ57" s="323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8"/>
      <c r="CY57" s="323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</row>
    <row r="58" spans="1:115" x14ac:dyDescent="0.25">
      <c r="A58" s="313" t="s">
        <v>254</v>
      </c>
      <c r="B58" s="322" t="s">
        <v>475</v>
      </c>
      <c r="C58" s="319"/>
      <c r="D58" s="318"/>
      <c r="E58" s="318"/>
      <c r="F58" s="326"/>
      <c r="G58" s="326"/>
      <c r="H58" s="323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8"/>
      <c r="Y58" s="323"/>
      <c r="Z58" s="319"/>
      <c r="AA58" s="319"/>
      <c r="AB58" s="319"/>
      <c r="AC58" s="323"/>
      <c r="AD58" s="319"/>
      <c r="AE58" s="319"/>
      <c r="AF58" s="319"/>
      <c r="AG58" s="319"/>
      <c r="AH58" s="319"/>
      <c r="AI58" s="319"/>
      <c r="AJ58" s="319"/>
      <c r="AK58" s="319"/>
      <c r="AL58" s="319"/>
      <c r="AM58" s="318"/>
      <c r="AN58" s="323"/>
      <c r="AO58" s="319"/>
      <c r="AP58" s="319"/>
      <c r="AQ58" s="319"/>
      <c r="AR58" s="319"/>
      <c r="AS58" s="319"/>
      <c r="AT58" s="319"/>
      <c r="AU58" s="318"/>
      <c r="AV58" s="323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23"/>
      <c r="BJ58" s="319"/>
      <c r="BK58" s="319"/>
      <c r="BL58" s="319"/>
      <c r="BM58" s="319"/>
      <c r="BN58" s="319"/>
      <c r="BO58" s="319"/>
      <c r="BP58" s="319"/>
      <c r="BQ58" s="319"/>
      <c r="BR58" s="319"/>
      <c r="BS58" s="323"/>
      <c r="BT58" s="319"/>
      <c r="BU58" s="319"/>
      <c r="BV58" s="319"/>
      <c r="BW58" s="319"/>
      <c r="BX58" s="319"/>
      <c r="BY58" s="319"/>
      <c r="BZ58" s="319"/>
      <c r="CA58" s="319"/>
      <c r="CB58" s="319"/>
      <c r="CC58" s="318"/>
      <c r="CD58" s="323"/>
      <c r="CE58" s="319"/>
      <c r="CF58" s="319"/>
      <c r="CG58" s="319"/>
      <c r="CH58" s="319"/>
      <c r="CI58" s="318"/>
      <c r="CJ58" s="323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8"/>
      <c r="CY58" s="323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</row>
    <row r="59" spans="1:115" x14ac:dyDescent="0.25">
      <c r="A59" s="313" t="s">
        <v>255</v>
      </c>
      <c r="B59" s="322" t="s">
        <v>475</v>
      </c>
      <c r="C59" s="319"/>
      <c r="D59" s="318"/>
      <c r="E59" s="318"/>
      <c r="F59" s="326"/>
      <c r="G59" s="326"/>
      <c r="H59" s="323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8"/>
      <c r="Y59" s="323"/>
      <c r="Z59" s="319"/>
      <c r="AA59" s="319"/>
      <c r="AB59" s="319"/>
      <c r="AC59" s="323"/>
      <c r="AD59" s="319"/>
      <c r="AE59" s="319"/>
      <c r="AF59" s="319"/>
      <c r="AG59" s="319"/>
      <c r="AH59" s="319"/>
      <c r="AI59" s="319"/>
      <c r="AJ59" s="319"/>
      <c r="AK59" s="319"/>
      <c r="AL59" s="319"/>
      <c r="AM59" s="318"/>
      <c r="AN59" s="323"/>
      <c r="AO59" s="319"/>
      <c r="AP59" s="319"/>
      <c r="AQ59" s="319"/>
      <c r="AR59" s="319"/>
      <c r="AS59" s="319"/>
      <c r="AT59" s="319"/>
      <c r="AU59" s="318"/>
      <c r="AV59" s="323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23"/>
      <c r="BJ59" s="319"/>
      <c r="BK59" s="319"/>
      <c r="BL59" s="319"/>
      <c r="BM59" s="319"/>
      <c r="BN59" s="319"/>
      <c r="BO59" s="319"/>
      <c r="BP59" s="319"/>
      <c r="BQ59" s="319"/>
      <c r="BR59" s="319"/>
      <c r="BS59" s="323"/>
      <c r="BT59" s="319"/>
      <c r="BU59" s="319"/>
      <c r="BV59" s="319"/>
      <c r="BW59" s="319"/>
      <c r="BX59" s="319"/>
      <c r="BY59" s="319"/>
      <c r="BZ59" s="319"/>
      <c r="CA59" s="319"/>
      <c r="CB59" s="319"/>
      <c r="CC59" s="318"/>
      <c r="CD59" s="323"/>
      <c r="CE59" s="319"/>
      <c r="CF59" s="319"/>
      <c r="CG59" s="319"/>
      <c r="CH59" s="319"/>
      <c r="CI59" s="318"/>
      <c r="CJ59" s="323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8"/>
      <c r="CY59" s="323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</row>
    <row r="60" spans="1:115" x14ac:dyDescent="0.25">
      <c r="A60" s="313" t="s">
        <v>256</v>
      </c>
      <c r="B60" s="322" t="s">
        <v>475</v>
      </c>
      <c r="C60" s="319"/>
      <c r="D60" s="318"/>
      <c r="E60" s="318"/>
      <c r="F60" s="326"/>
      <c r="G60" s="326"/>
      <c r="H60" s="323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8"/>
      <c r="Y60" s="323"/>
      <c r="Z60" s="319"/>
      <c r="AA60" s="319"/>
      <c r="AB60" s="319"/>
      <c r="AC60" s="323"/>
      <c r="AD60" s="319"/>
      <c r="AE60" s="319"/>
      <c r="AF60" s="319"/>
      <c r="AG60" s="319"/>
      <c r="AH60" s="319"/>
      <c r="AI60" s="319"/>
      <c r="AJ60" s="319"/>
      <c r="AK60" s="319"/>
      <c r="AL60" s="319"/>
      <c r="AM60" s="318"/>
      <c r="AN60" s="323"/>
      <c r="AO60" s="319"/>
      <c r="AP60" s="319"/>
      <c r="AQ60" s="319"/>
      <c r="AR60" s="319"/>
      <c r="AS60" s="319"/>
      <c r="AT60" s="319"/>
      <c r="AU60" s="318"/>
      <c r="AV60" s="323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23"/>
      <c r="BJ60" s="319"/>
      <c r="BK60" s="319"/>
      <c r="BL60" s="319"/>
      <c r="BM60" s="319"/>
      <c r="BN60" s="319"/>
      <c r="BO60" s="319"/>
      <c r="BP60" s="319"/>
      <c r="BQ60" s="319"/>
      <c r="BR60" s="319"/>
      <c r="BS60" s="323"/>
      <c r="BT60" s="319"/>
      <c r="BU60" s="319"/>
      <c r="BV60" s="319"/>
      <c r="BW60" s="319"/>
      <c r="BX60" s="319"/>
      <c r="BY60" s="319"/>
      <c r="BZ60" s="319"/>
      <c r="CA60" s="319"/>
      <c r="CB60" s="319"/>
      <c r="CC60" s="318"/>
      <c r="CD60" s="323"/>
      <c r="CE60" s="319"/>
      <c r="CF60" s="319"/>
      <c r="CG60" s="319"/>
      <c r="CH60" s="319"/>
      <c r="CI60" s="318"/>
      <c r="CJ60" s="323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8"/>
      <c r="CY60" s="323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</row>
    <row r="61" spans="1:115" x14ac:dyDescent="0.25">
      <c r="A61" s="313" t="s">
        <v>257</v>
      </c>
      <c r="B61" s="322" t="s">
        <v>475</v>
      </c>
      <c r="C61" s="319"/>
      <c r="D61" s="318"/>
      <c r="E61" s="318"/>
      <c r="F61" s="326"/>
      <c r="G61" s="326"/>
      <c r="H61" s="323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8"/>
      <c r="Y61" s="323"/>
      <c r="Z61" s="319"/>
      <c r="AA61" s="319"/>
      <c r="AB61" s="319"/>
      <c r="AC61" s="323"/>
      <c r="AD61" s="319"/>
      <c r="AE61" s="319"/>
      <c r="AF61" s="319"/>
      <c r="AG61" s="319"/>
      <c r="AH61" s="319"/>
      <c r="AI61" s="319"/>
      <c r="AJ61" s="319"/>
      <c r="AK61" s="319"/>
      <c r="AL61" s="319"/>
      <c r="AM61" s="318"/>
      <c r="AN61" s="323"/>
      <c r="AO61" s="319"/>
      <c r="AP61" s="319"/>
      <c r="AQ61" s="319"/>
      <c r="AR61" s="319"/>
      <c r="AS61" s="319"/>
      <c r="AT61" s="319"/>
      <c r="AU61" s="318"/>
      <c r="AV61" s="323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23"/>
      <c r="BJ61" s="319"/>
      <c r="BK61" s="319"/>
      <c r="BL61" s="319"/>
      <c r="BM61" s="319"/>
      <c r="BN61" s="319"/>
      <c r="BO61" s="319"/>
      <c r="BP61" s="319"/>
      <c r="BQ61" s="319"/>
      <c r="BR61" s="319"/>
      <c r="BS61" s="323"/>
      <c r="BT61" s="319"/>
      <c r="BU61" s="319"/>
      <c r="BV61" s="319"/>
      <c r="BW61" s="319"/>
      <c r="BX61" s="319"/>
      <c r="BY61" s="319"/>
      <c r="BZ61" s="319"/>
      <c r="CA61" s="319"/>
      <c r="CB61" s="319"/>
      <c r="CC61" s="318"/>
      <c r="CD61" s="323"/>
      <c r="CE61" s="319"/>
      <c r="CF61" s="319"/>
      <c r="CG61" s="319"/>
      <c r="CH61" s="319"/>
      <c r="CI61" s="318"/>
      <c r="CJ61" s="323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8"/>
      <c r="CY61" s="323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</row>
    <row r="62" spans="1:115" x14ac:dyDescent="0.25">
      <c r="A62" s="313" t="s">
        <v>258</v>
      </c>
      <c r="B62" s="322" t="s">
        <v>475</v>
      </c>
      <c r="C62" s="319"/>
      <c r="D62" s="318"/>
      <c r="E62" s="318"/>
      <c r="F62" s="326"/>
      <c r="G62" s="326"/>
      <c r="H62" s="323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8"/>
      <c r="Y62" s="323"/>
      <c r="Z62" s="319"/>
      <c r="AA62" s="319"/>
      <c r="AB62" s="319"/>
      <c r="AC62" s="323"/>
      <c r="AD62" s="319"/>
      <c r="AE62" s="319"/>
      <c r="AF62" s="319"/>
      <c r="AG62" s="319"/>
      <c r="AH62" s="319"/>
      <c r="AI62" s="319"/>
      <c r="AJ62" s="319"/>
      <c r="AK62" s="319"/>
      <c r="AL62" s="319"/>
      <c r="AM62" s="318"/>
      <c r="AN62" s="323"/>
      <c r="AO62" s="319"/>
      <c r="AP62" s="319"/>
      <c r="AQ62" s="319"/>
      <c r="AR62" s="319"/>
      <c r="AS62" s="319"/>
      <c r="AT62" s="319"/>
      <c r="AU62" s="318"/>
      <c r="AV62" s="323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23"/>
      <c r="BJ62" s="319"/>
      <c r="BK62" s="319"/>
      <c r="BL62" s="319"/>
      <c r="BM62" s="319"/>
      <c r="BN62" s="319"/>
      <c r="BO62" s="319"/>
      <c r="BP62" s="319"/>
      <c r="BQ62" s="319"/>
      <c r="BR62" s="319"/>
      <c r="BS62" s="323"/>
      <c r="BT62" s="319"/>
      <c r="BU62" s="319"/>
      <c r="BV62" s="319"/>
      <c r="BW62" s="319"/>
      <c r="BX62" s="319"/>
      <c r="BY62" s="319"/>
      <c r="BZ62" s="319"/>
      <c r="CA62" s="319"/>
      <c r="CB62" s="319"/>
      <c r="CC62" s="318"/>
      <c r="CD62" s="323"/>
      <c r="CE62" s="319"/>
      <c r="CF62" s="319"/>
      <c r="CG62" s="319"/>
      <c r="CH62" s="319"/>
      <c r="CI62" s="318"/>
      <c r="CJ62" s="323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8"/>
      <c r="CY62" s="323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</row>
    <row r="63" spans="1:115" x14ac:dyDescent="0.25">
      <c r="A63" s="313" t="s">
        <v>259</v>
      </c>
      <c r="B63" s="322" t="s">
        <v>475</v>
      </c>
      <c r="C63" s="319"/>
      <c r="D63" s="318"/>
      <c r="E63" s="318"/>
      <c r="F63" s="326"/>
      <c r="G63" s="326"/>
      <c r="H63" s="323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8"/>
      <c r="Y63" s="323"/>
      <c r="Z63" s="319"/>
      <c r="AA63" s="319"/>
      <c r="AB63" s="319"/>
      <c r="AC63" s="323"/>
      <c r="AD63" s="319"/>
      <c r="AE63" s="319"/>
      <c r="AF63" s="319"/>
      <c r="AG63" s="319"/>
      <c r="AH63" s="319"/>
      <c r="AI63" s="319"/>
      <c r="AJ63" s="319"/>
      <c r="AK63" s="319"/>
      <c r="AL63" s="319"/>
      <c r="AM63" s="318"/>
      <c r="AN63" s="323"/>
      <c r="AO63" s="319"/>
      <c r="AP63" s="319"/>
      <c r="AQ63" s="319"/>
      <c r="AR63" s="319"/>
      <c r="AS63" s="319"/>
      <c r="AT63" s="319"/>
      <c r="AU63" s="318"/>
      <c r="AV63" s="323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23"/>
      <c r="BJ63" s="319"/>
      <c r="BK63" s="319"/>
      <c r="BL63" s="319"/>
      <c r="BM63" s="319"/>
      <c r="BN63" s="319"/>
      <c r="BO63" s="319"/>
      <c r="BP63" s="319"/>
      <c r="BQ63" s="319"/>
      <c r="BR63" s="319"/>
      <c r="BS63" s="323"/>
      <c r="BT63" s="319"/>
      <c r="BU63" s="319"/>
      <c r="BV63" s="319"/>
      <c r="BW63" s="319"/>
      <c r="BX63" s="319"/>
      <c r="BY63" s="319"/>
      <c r="BZ63" s="319"/>
      <c r="CA63" s="319"/>
      <c r="CB63" s="319"/>
      <c r="CC63" s="318"/>
      <c r="CD63" s="323"/>
      <c r="CE63" s="319"/>
      <c r="CF63" s="319"/>
      <c r="CG63" s="319"/>
      <c r="CH63" s="319"/>
      <c r="CI63" s="318"/>
      <c r="CJ63" s="323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8"/>
      <c r="CY63" s="323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</row>
    <row r="64" spans="1:115" x14ac:dyDescent="0.25">
      <c r="A64" s="313" t="s">
        <v>260</v>
      </c>
      <c r="B64" s="322" t="s">
        <v>475</v>
      </c>
      <c r="C64" s="319"/>
      <c r="D64" s="318"/>
      <c r="E64" s="318"/>
      <c r="F64" s="326"/>
      <c r="G64" s="326"/>
      <c r="H64" s="323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8"/>
      <c r="Y64" s="323"/>
      <c r="Z64" s="319"/>
      <c r="AA64" s="319"/>
      <c r="AB64" s="319"/>
      <c r="AC64" s="323"/>
      <c r="AD64" s="319"/>
      <c r="AE64" s="319"/>
      <c r="AF64" s="319"/>
      <c r="AG64" s="319"/>
      <c r="AH64" s="319"/>
      <c r="AI64" s="319"/>
      <c r="AJ64" s="319"/>
      <c r="AK64" s="319"/>
      <c r="AL64" s="319"/>
      <c r="AM64" s="318"/>
      <c r="AN64" s="323"/>
      <c r="AO64" s="319"/>
      <c r="AP64" s="319"/>
      <c r="AQ64" s="319"/>
      <c r="AR64" s="319"/>
      <c r="AS64" s="319"/>
      <c r="AT64" s="319"/>
      <c r="AU64" s="318"/>
      <c r="AV64" s="323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23"/>
      <c r="BJ64" s="319"/>
      <c r="BK64" s="319"/>
      <c r="BL64" s="319"/>
      <c r="BM64" s="319"/>
      <c r="BN64" s="319"/>
      <c r="BO64" s="319"/>
      <c r="BP64" s="319"/>
      <c r="BQ64" s="319"/>
      <c r="BR64" s="319"/>
      <c r="BS64" s="323"/>
      <c r="BT64" s="319"/>
      <c r="BU64" s="319"/>
      <c r="BV64" s="319"/>
      <c r="BW64" s="319"/>
      <c r="BX64" s="319"/>
      <c r="BY64" s="319"/>
      <c r="BZ64" s="319"/>
      <c r="CA64" s="319"/>
      <c r="CB64" s="319"/>
      <c r="CC64" s="318"/>
      <c r="CD64" s="323"/>
      <c r="CE64" s="319"/>
      <c r="CF64" s="319"/>
      <c r="CG64" s="319"/>
      <c r="CH64" s="319"/>
      <c r="CI64" s="318"/>
      <c r="CJ64" s="323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8"/>
      <c r="CY64" s="323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</row>
    <row r="65" spans="1:115" x14ac:dyDescent="0.25">
      <c r="A65" s="313" t="s">
        <v>261</v>
      </c>
      <c r="B65" s="322" t="s">
        <v>475</v>
      </c>
      <c r="C65" s="319"/>
      <c r="D65" s="318"/>
      <c r="E65" s="318"/>
      <c r="F65" s="326"/>
      <c r="G65" s="326"/>
      <c r="H65" s="323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8"/>
      <c r="Y65" s="323"/>
      <c r="Z65" s="319"/>
      <c r="AA65" s="319"/>
      <c r="AB65" s="319"/>
      <c r="AC65" s="323"/>
      <c r="AD65" s="319"/>
      <c r="AE65" s="319"/>
      <c r="AF65" s="319"/>
      <c r="AG65" s="319"/>
      <c r="AH65" s="319"/>
      <c r="AI65" s="319"/>
      <c r="AJ65" s="319"/>
      <c r="AK65" s="319"/>
      <c r="AL65" s="319"/>
      <c r="AM65" s="318"/>
      <c r="AN65" s="323"/>
      <c r="AO65" s="319"/>
      <c r="AP65" s="319"/>
      <c r="AQ65" s="319"/>
      <c r="AR65" s="319"/>
      <c r="AS65" s="319"/>
      <c r="AT65" s="319"/>
      <c r="AU65" s="318"/>
      <c r="AV65" s="323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23"/>
      <c r="BJ65" s="319"/>
      <c r="BK65" s="319"/>
      <c r="BL65" s="319"/>
      <c r="BM65" s="319"/>
      <c r="BN65" s="319"/>
      <c r="BO65" s="319"/>
      <c r="BP65" s="319"/>
      <c r="BQ65" s="319"/>
      <c r="BR65" s="319"/>
      <c r="BS65" s="323"/>
      <c r="BT65" s="319"/>
      <c r="BU65" s="319"/>
      <c r="BV65" s="319"/>
      <c r="BW65" s="319"/>
      <c r="BX65" s="319"/>
      <c r="BY65" s="319"/>
      <c r="BZ65" s="319"/>
      <c r="CA65" s="319"/>
      <c r="CB65" s="319"/>
      <c r="CC65" s="318"/>
      <c r="CD65" s="323"/>
      <c r="CE65" s="319"/>
      <c r="CF65" s="319"/>
      <c r="CG65" s="319"/>
      <c r="CH65" s="319"/>
      <c r="CI65" s="318"/>
      <c r="CJ65" s="323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8"/>
      <c r="CY65" s="323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</row>
    <row r="66" spans="1:115" x14ac:dyDescent="0.25">
      <c r="A66" s="313" t="s">
        <v>262</v>
      </c>
      <c r="B66" s="322" t="s">
        <v>475</v>
      </c>
      <c r="C66" s="319"/>
      <c r="D66" s="318"/>
      <c r="E66" s="318"/>
      <c r="F66" s="326"/>
      <c r="G66" s="326"/>
      <c r="H66" s="323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8"/>
      <c r="Y66" s="323"/>
      <c r="Z66" s="319"/>
      <c r="AA66" s="319"/>
      <c r="AB66" s="319"/>
      <c r="AC66" s="323"/>
      <c r="AD66" s="319"/>
      <c r="AE66" s="319"/>
      <c r="AF66" s="319"/>
      <c r="AG66" s="319"/>
      <c r="AH66" s="319"/>
      <c r="AI66" s="319"/>
      <c r="AJ66" s="319"/>
      <c r="AK66" s="319"/>
      <c r="AL66" s="319"/>
      <c r="AM66" s="318"/>
      <c r="AN66" s="323"/>
      <c r="AO66" s="319"/>
      <c r="AP66" s="319"/>
      <c r="AQ66" s="319"/>
      <c r="AR66" s="319"/>
      <c r="AS66" s="319"/>
      <c r="AT66" s="319"/>
      <c r="AU66" s="318"/>
      <c r="AV66" s="323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23"/>
      <c r="BJ66" s="319"/>
      <c r="BK66" s="319"/>
      <c r="BL66" s="319"/>
      <c r="BM66" s="319"/>
      <c r="BN66" s="319"/>
      <c r="BO66" s="319"/>
      <c r="BP66" s="319"/>
      <c r="BQ66" s="319"/>
      <c r="BR66" s="319"/>
      <c r="BS66" s="323"/>
      <c r="BT66" s="319"/>
      <c r="BU66" s="319"/>
      <c r="BV66" s="319"/>
      <c r="BW66" s="319"/>
      <c r="BX66" s="319"/>
      <c r="BY66" s="319"/>
      <c r="BZ66" s="319"/>
      <c r="CA66" s="319"/>
      <c r="CB66" s="319"/>
      <c r="CC66" s="318"/>
      <c r="CD66" s="323"/>
      <c r="CE66" s="319"/>
      <c r="CF66" s="319"/>
      <c r="CG66" s="319"/>
      <c r="CH66" s="319"/>
      <c r="CI66" s="318"/>
      <c r="CJ66" s="323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8"/>
      <c r="CY66" s="323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</row>
    <row r="67" spans="1:115" x14ac:dyDescent="0.25">
      <c r="A67" s="313" t="s">
        <v>263</v>
      </c>
      <c r="B67" s="322" t="s">
        <v>475</v>
      </c>
      <c r="C67" s="319"/>
      <c r="D67" s="318"/>
      <c r="E67" s="318"/>
      <c r="F67" s="326"/>
      <c r="G67" s="326"/>
      <c r="H67" s="323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8"/>
      <c r="Y67" s="323"/>
      <c r="Z67" s="319"/>
      <c r="AA67" s="319"/>
      <c r="AB67" s="319"/>
      <c r="AC67" s="323"/>
      <c r="AD67" s="319"/>
      <c r="AE67" s="319"/>
      <c r="AF67" s="319"/>
      <c r="AG67" s="319"/>
      <c r="AH67" s="319"/>
      <c r="AI67" s="319"/>
      <c r="AJ67" s="319"/>
      <c r="AK67" s="319"/>
      <c r="AL67" s="319"/>
      <c r="AM67" s="318"/>
      <c r="AN67" s="323"/>
      <c r="AO67" s="319"/>
      <c r="AP67" s="319"/>
      <c r="AQ67" s="319"/>
      <c r="AR67" s="319"/>
      <c r="AS67" s="319"/>
      <c r="AT67" s="319"/>
      <c r="AU67" s="318"/>
      <c r="AV67" s="323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23"/>
      <c r="BJ67" s="319"/>
      <c r="BK67" s="319"/>
      <c r="BL67" s="319"/>
      <c r="BM67" s="319"/>
      <c r="BN67" s="319"/>
      <c r="BO67" s="319"/>
      <c r="BP67" s="319"/>
      <c r="BQ67" s="319"/>
      <c r="BR67" s="319"/>
      <c r="BS67" s="323"/>
      <c r="BT67" s="319"/>
      <c r="BU67" s="319"/>
      <c r="BV67" s="319"/>
      <c r="BW67" s="319"/>
      <c r="BX67" s="319"/>
      <c r="BY67" s="319"/>
      <c r="BZ67" s="319"/>
      <c r="CA67" s="319"/>
      <c r="CB67" s="319"/>
      <c r="CC67" s="318"/>
      <c r="CD67" s="323"/>
      <c r="CE67" s="319"/>
      <c r="CF67" s="319"/>
      <c r="CG67" s="319"/>
      <c r="CH67" s="319"/>
      <c r="CI67" s="318"/>
      <c r="CJ67" s="323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8"/>
      <c r="CY67" s="323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</row>
    <row r="68" spans="1:115" x14ac:dyDescent="0.25">
      <c r="A68" s="313" t="s">
        <v>264</v>
      </c>
      <c r="B68" s="322" t="s">
        <v>475</v>
      </c>
      <c r="C68" s="319"/>
      <c r="D68" s="318"/>
      <c r="E68" s="318"/>
      <c r="F68" s="326"/>
      <c r="G68" s="326"/>
      <c r="H68" s="323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8"/>
      <c r="Y68" s="323"/>
      <c r="Z68" s="319"/>
      <c r="AA68" s="319"/>
      <c r="AB68" s="319"/>
      <c r="AC68" s="323"/>
      <c r="AD68" s="319"/>
      <c r="AE68" s="319"/>
      <c r="AF68" s="319"/>
      <c r="AG68" s="319"/>
      <c r="AH68" s="319"/>
      <c r="AI68" s="319"/>
      <c r="AJ68" s="319"/>
      <c r="AK68" s="319"/>
      <c r="AL68" s="319"/>
      <c r="AM68" s="318"/>
      <c r="AN68" s="323"/>
      <c r="AO68" s="319"/>
      <c r="AP68" s="319"/>
      <c r="AQ68" s="319"/>
      <c r="AR68" s="319"/>
      <c r="AS68" s="319"/>
      <c r="AT68" s="319"/>
      <c r="AU68" s="318"/>
      <c r="AV68" s="323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23"/>
      <c r="BJ68" s="319"/>
      <c r="BK68" s="319"/>
      <c r="BL68" s="319"/>
      <c r="BM68" s="319"/>
      <c r="BN68" s="319"/>
      <c r="BO68" s="319"/>
      <c r="BP68" s="319"/>
      <c r="BQ68" s="319"/>
      <c r="BR68" s="319"/>
      <c r="BS68" s="323"/>
      <c r="BT68" s="319"/>
      <c r="BU68" s="319"/>
      <c r="BV68" s="319"/>
      <c r="BW68" s="319"/>
      <c r="BX68" s="319"/>
      <c r="BY68" s="319"/>
      <c r="BZ68" s="319"/>
      <c r="CA68" s="319"/>
      <c r="CB68" s="319"/>
      <c r="CC68" s="318"/>
      <c r="CD68" s="323"/>
      <c r="CE68" s="319"/>
      <c r="CF68" s="319"/>
      <c r="CG68" s="319"/>
      <c r="CH68" s="319"/>
      <c r="CI68" s="318"/>
      <c r="CJ68" s="323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8"/>
      <c r="CY68" s="323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</row>
    <row r="69" spans="1:115" x14ac:dyDescent="0.25">
      <c r="A69" s="313" t="s">
        <v>265</v>
      </c>
      <c r="B69" s="322" t="s">
        <v>475</v>
      </c>
      <c r="C69" s="319"/>
      <c r="D69" s="318"/>
      <c r="E69" s="318"/>
      <c r="F69" s="326"/>
      <c r="G69" s="326"/>
      <c r="H69" s="323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8"/>
      <c r="Y69" s="323"/>
      <c r="Z69" s="319"/>
      <c r="AA69" s="319"/>
      <c r="AB69" s="319"/>
      <c r="AC69" s="323"/>
      <c r="AD69" s="319"/>
      <c r="AE69" s="319"/>
      <c r="AF69" s="319"/>
      <c r="AG69" s="319"/>
      <c r="AH69" s="319"/>
      <c r="AI69" s="319"/>
      <c r="AJ69" s="319"/>
      <c r="AK69" s="319"/>
      <c r="AL69" s="319"/>
      <c r="AM69" s="318"/>
      <c r="AN69" s="323"/>
      <c r="AO69" s="319"/>
      <c r="AP69" s="319"/>
      <c r="AQ69" s="319"/>
      <c r="AR69" s="319"/>
      <c r="AS69" s="319"/>
      <c r="AT69" s="319"/>
      <c r="AU69" s="318"/>
      <c r="AV69" s="323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23"/>
      <c r="BJ69" s="319"/>
      <c r="BK69" s="319"/>
      <c r="BL69" s="319"/>
      <c r="BM69" s="319"/>
      <c r="BN69" s="319"/>
      <c r="BO69" s="319"/>
      <c r="BP69" s="319"/>
      <c r="BQ69" s="319"/>
      <c r="BR69" s="319"/>
      <c r="BS69" s="323"/>
      <c r="BT69" s="319"/>
      <c r="BU69" s="319"/>
      <c r="BV69" s="319"/>
      <c r="BW69" s="319"/>
      <c r="BX69" s="319"/>
      <c r="BY69" s="319"/>
      <c r="BZ69" s="319"/>
      <c r="CA69" s="319"/>
      <c r="CB69" s="319"/>
      <c r="CC69" s="318"/>
      <c r="CD69" s="323"/>
      <c r="CE69" s="319"/>
      <c r="CF69" s="319"/>
      <c r="CG69" s="319"/>
      <c r="CH69" s="319"/>
      <c r="CI69" s="318"/>
      <c r="CJ69" s="323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8"/>
      <c r="CY69" s="323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</row>
    <row r="70" spans="1:115" ht="15.75" thickBot="1" x14ac:dyDescent="0.3">
      <c r="A70" s="314" t="s">
        <v>266</v>
      </c>
      <c r="B70" s="322" t="s">
        <v>475</v>
      </c>
      <c r="C70" s="315"/>
      <c r="D70" s="260"/>
      <c r="E70" s="260"/>
      <c r="F70" s="327"/>
      <c r="G70" s="327"/>
      <c r="H70" s="324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260"/>
      <c r="Y70" s="324"/>
      <c r="Z70" s="315"/>
      <c r="AA70" s="315"/>
      <c r="AB70" s="315"/>
      <c r="AC70" s="324"/>
      <c r="AD70" s="315"/>
      <c r="AE70" s="315"/>
      <c r="AF70" s="315"/>
      <c r="AG70" s="315"/>
      <c r="AH70" s="315"/>
      <c r="AI70" s="315"/>
      <c r="AJ70" s="315"/>
      <c r="AK70" s="315"/>
      <c r="AL70" s="315"/>
      <c r="AM70" s="260"/>
      <c r="AN70" s="324"/>
      <c r="AO70" s="315"/>
      <c r="AP70" s="315"/>
      <c r="AQ70" s="315"/>
      <c r="AR70" s="315"/>
      <c r="AS70" s="315"/>
      <c r="AT70" s="315"/>
      <c r="AU70" s="260"/>
      <c r="AV70" s="324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24"/>
      <c r="BJ70" s="315"/>
      <c r="BK70" s="315"/>
      <c r="BL70" s="315"/>
      <c r="BM70" s="315"/>
      <c r="BN70" s="315"/>
      <c r="BO70" s="315"/>
      <c r="BP70" s="315"/>
      <c r="BQ70" s="315"/>
      <c r="BR70" s="315"/>
      <c r="BS70" s="324"/>
      <c r="BT70" s="315"/>
      <c r="BU70" s="315"/>
      <c r="BV70" s="315"/>
      <c r="BW70" s="315"/>
      <c r="BX70" s="315"/>
      <c r="BY70" s="315"/>
      <c r="BZ70" s="315"/>
      <c r="CA70" s="315"/>
      <c r="CB70" s="315"/>
      <c r="CC70" s="260"/>
      <c r="CD70" s="324"/>
      <c r="CE70" s="315"/>
      <c r="CF70" s="315"/>
      <c r="CG70" s="315"/>
      <c r="CH70" s="315"/>
      <c r="CI70" s="260"/>
      <c r="CJ70" s="324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260"/>
      <c r="CY70" s="324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315"/>
      <c r="DK70" s="315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DK70"/>
  <sheetViews>
    <sheetView view="pageBreakPreview" zoomScale="150" zoomScaleNormal="100" zoomScaleSheetLayoutView="50" workbookViewId="0">
      <selection activeCell="E11" sqref="E11"/>
    </sheetView>
  </sheetViews>
  <sheetFormatPr defaultColWidth="6.28515625" defaultRowHeight="15" x14ac:dyDescent="0.25"/>
  <cols>
    <col min="1" max="1" width="25.42578125" customWidth="1"/>
    <col min="2" max="2" width="14" customWidth="1"/>
    <col min="3" max="7" width="6.28515625" style="307"/>
    <col min="8" max="8" width="7.28515625" style="307" customWidth="1"/>
    <col min="9" max="115" width="6.28515625" style="307"/>
  </cols>
  <sheetData>
    <row r="1" spans="1:115" ht="15.75" thickBot="1" x14ac:dyDescent="0.3"/>
    <row r="2" spans="1:115" s="639" customFormat="1" ht="132.94999999999999" customHeight="1" thickBot="1" x14ac:dyDescent="0.3">
      <c r="A2" s="632" t="s">
        <v>235</v>
      </c>
      <c r="B2" s="634" t="s">
        <v>370</v>
      </c>
      <c r="C2" s="635" t="s">
        <v>372</v>
      </c>
      <c r="D2" s="635" t="s">
        <v>373</v>
      </c>
      <c r="E2" s="635" t="s">
        <v>374</v>
      </c>
      <c r="F2" s="636" t="s">
        <v>375</v>
      </c>
      <c r="G2" s="636" t="s">
        <v>376</v>
      </c>
      <c r="H2" s="634" t="s">
        <v>371</v>
      </c>
      <c r="I2" s="637" t="s">
        <v>377</v>
      </c>
      <c r="J2" s="637" t="s">
        <v>378</v>
      </c>
      <c r="K2" s="637" t="s">
        <v>379</v>
      </c>
      <c r="L2" s="637" t="s">
        <v>380</v>
      </c>
      <c r="M2" s="637" t="s">
        <v>381</v>
      </c>
      <c r="N2" s="637" t="s">
        <v>382</v>
      </c>
      <c r="O2" s="637" t="s">
        <v>383</v>
      </c>
      <c r="P2" s="637" t="s">
        <v>384</v>
      </c>
      <c r="Q2" s="637" t="s">
        <v>385</v>
      </c>
      <c r="R2" s="637" t="s">
        <v>386</v>
      </c>
      <c r="S2" s="637" t="s">
        <v>387</v>
      </c>
      <c r="T2" s="637" t="s">
        <v>388</v>
      </c>
      <c r="U2" s="637" t="s">
        <v>389</v>
      </c>
      <c r="V2" s="637" t="s">
        <v>390</v>
      </c>
      <c r="W2" s="637" t="s">
        <v>391</v>
      </c>
      <c r="X2" s="638" t="s">
        <v>381</v>
      </c>
      <c r="Y2" s="634" t="s">
        <v>392</v>
      </c>
      <c r="Z2" s="637" t="s">
        <v>393</v>
      </c>
      <c r="AA2" s="637" t="s">
        <v>394</v>
      </c>
      <c r="AB2" s="637" t="s">
        <v>395</v>
      </c>
      <c r="AC2" s="634" t="s">
        <v>396</v>
      </c>
      <c r="AD2" s="637" t="s">
        <v>397</v>
      </c>
      <c r="AE2" s="637" t="s">
        <v>398</v>
      </c>
      <c r="AF2" s="637" t="s">
        <v>399</v>
      </c>
      <c r="AG2" s="637" t="s">
        <v>400</v>
      </c>
      <c r="AH2" s="637" t="s">
        <v>401</v>
      </c>
      <c r="AI2" s="637" t="s">
        <v>402</v>
      </c>
      <c r="AJ2" s="637" t="s">
        <v>403</v>
      </c>
      <c r="AK2" s="637" t="s">
        <v>372</v>
      </c>
      <c r="AL2" s="637" t="s">
        <v>404</v>
      </c>
      <c r="AM2" s="638" t="s">
        <v>375</v>
      </c>
      <c r="AN2" s="634" t="s">
        <v>405</v>
      </c>
      <c r="AO2" s="637" t="s">
        <v>406</v>
      </c>
      <c r="AP2" s="637" t="s">
        <v>407</v>
      </c>
      <c r="AQ2" s="637" t="s">
        <v>408</v>
      </c>
      <c r="AR2" s="637" t="s">
        <v>409</v>
      </c>
      <c r="AS2" s="637" t="s">
        <v>410</v>
      </c>
      <c r="AT2" s="637" t="s">
        <v>411</v>
      </c>
      <c r="AU2" s="638" t="s">
        <v>412</v>
      </c>
      <c r="AV2" s="634" t="s">
        <v>413</v>
      </c>
      <c r="AW2" s="637" t="s">
        <v>414</v>
      </c>
      <c r="AX2" s="637" t="s">
        <v>415</v>
      </c>
      <c r="AY2" s="637" t="s">
        <v>416</v>
      </c>
      <c r="AZ2" s="637" t="s">
        <v>417</v>
      </c>
      <c r="BA2" s="637" t="s">
        <v>418</v>
      </c>
      <c r="BB2" s="637" t="s">
        <v>419</v>
      </c>
      <c r="BC2" s="637" t="s">
        <v>420</v>
      </c>
      <c r="BD2" s="637" t="s">
        <v>421</v>
      </c>
      <c r="BE2" s="637" t="s">
        <v>422</v>
      </c>
      <c r="BF2" s="637" t="s">
        <v>423</v>
      </c>
      <c r="BG2" s="637" t="s">
        <v>424</v>
      </c>
      <c r="BH2" s="637" t="s">
        <v>425</v>
      </c>
      <c r="BI2" s="634" t="s">
        <v>426</v>
      </c>
      <c r="BJ2" s="637" t="s">
        <v>427</v>
      </c>
      <c r="BK2" s="637" t="s">
        <v>428</v>
      </c>
      <c r="BL2" s="637" t="s">
        <v>429</v>
      </c>
      <c r="BM2" s="637" t="s">
        <v>430</v>
      </c>
      <c r="BN2" s="637" t="s">
        <v>431</v>
      </c>
      <c r="BO2" s="637" t="s">
        <v>432</v>
      </c>
      <c r="BP2" s="637" t="s">
        <v>433</v>
      </c>
      <c r="BQ2" s="637" t="s">
        <v>434</v>
      </c>
      <c r="BR2" s="637" t="s">
        <v>435</v>
      </c>
      <c r="BS2" s="634" t="s">
        <v>436</v>
      </c>
      <c r="BT2" s="637" t="s">
        <v>437</v>
      </c>
      <c r="BU2" s="637" t="s">
        <v>438</v>
      </c>
      <c r="BV2" s="637" t="s">
        <v>439</v>
      </c>
      <c r="BW2" s="637" t="s">
        <v>440</v>
      </c>
      <c r="BX2" s="637" t="s">
        <v>441</v>
      </c>
      <c r="BY2" s="637" t="s">
        <v>442</v>
      </c>
      <c r="BZ2" s="637" t="s">
        <v>442</v>
      </c>
      <c r="CA2" s="637" t="s">
        <v>443</v>
      </c>
      <c r="CB2" s="637" t="s">
        <v>444</v>
      </c>
      <c r="CC2" s="638" t="s">
        <v>445</v>
      </c>
      <c r="CD2" s="634" t="s">
        <v>446</v>
      </c>
      <c r="CE2" s="637" t="s">
        <v>447</v>
      </c>
      <c r="CF2" s="637" t="s">
        <v>448</v>
      </c>
      <c r="CG2" s="637" t="s">
        <v>449</v>
      </c>
      <c r="CH2" s="637" t="s">
        <v>450</v>
      </c>
      <c r="CI2" s="638" t="s">
        <v>451</v>
      </c>
      <c r="CJ2" s="634" t="s">
        <v>452</v>
      </c>
      <c r="CK2" s="637" t="s">
        <v>453</v>
      </c>
      <c r="CL2" s="637" t="s">
        <v>454</v>
      </c>
      <c r="CM2" s="637" t="s">
        <v>455</v>
      </c>
      <c r="CN2" s="637" t="s">
        <v>456</v>
      </c>
      <c r="CO2" s="637" t="s">
        <v>457</v>
      </c>
      <c r="CP2" s="637" t="s">
        <v>458</v>
      </c>
      <c r="CQ2" s="637" t="s">
        <v>459</v>
      </c>
      <c r="CR2" s="637" t="s">
        <v>425</v>
      </c>
      <c r="CS2" s="637" t="s">
        <v>460</v>
      </c>
      <c r="CT2" s="637" t="s">
        <v>461</v>
      </c>
      <c r="CU2" s="637" t="s">
        <v>462</v>
      </c>
      <c r="CV2" s="637" t="s">
        <v>463</v>
      </c>
      <c r="CW2" s="637" t="s">
        <v>464</v>
      </c>
      <c r="CX2" s="638" t="s">
        <v>465</v>
      </c>
      <c r="CY2" s="634" t="s">
        <v>466</v>
      </c>
      <c r="CZ2" s="637" t="s">
        <v>467</v>
      </c>
      <c r="DA2" s="637" t="s">
        <v>468</v>
      </c>
      <c r="DB2" s="637" t="s">
        <v>447</v>
      </c>
      <c r="DC2" s="637" t="s">
        <v>450</v>
      </c>
      <c r="DD2" s="637" t="s">
        <v>469</v>
      </c>
      <c r="DE2" s="637" t="s">
        <v>470</v>
      </c>
      <c r="DF2" s="637" t="s">
        <v>456</v>
      </c>
      <c r="DG2" s="637" t="s">
        <v>456</v>
      </c>
      <c r="DH2" s="637" t="s">
        <v>471</v>
      </c>
      <c r="DI2" s="637" t="s">
        <v>472</v>
      </c>
      <c r="DJ2" s="637" t="s">
        <v>473</v>
      </c>
      <c r="DK2" s="637" t="s">
        <v>474</v>
      </c>
    </row>
    <row r="3" spans="1:115" x14ac:dyDescent="0.25">
      <c r="A3" s="311" t="s">
        <v>175</v>
      </c>
      <c r="B3" s="321"/>
      <c r="C3" s="320"/>
      <c r="D3" s="317"/>
      <c r="E3" s="317"/>
      <c r="F3" s="325"/>
      <c r="G3" s="325"/>
      <c r="H3" s="328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17"/>
      <c r="Y3" s="328"/>
      <c r="Z3" s="320"/>
      <c r="AA3" s="320"/>
      <c r="AB3" s="320"/>
      <c r="AC3" s="328"/>
      <c r="AD3" s="320"/>
      <c r="AE3" s="320"/>
      <c r="AF3" s="320"/>
      <c r="AG3" s="320"/>
      <c r="AH3" s="320"/>
      <c r="AI3" s="320"/>
      <c r="AJ3" s="320"/>
      <c r="AK3" s="320"/>
      <c r="AL3" s="320"/>
      <c r="AM3" s="317"/>
      <c r="AN3" s="328"/>
      <c r="AO3" s="320"/>
      <c r="AP3" s="320"/>
      <c r="AQ3" s="320"/>
      <c r="AR3" s="320"/>
      <c r="AS3" s="320"/>
      <c r="AT3" s="320"/>
      <c r="AU3" s="317"/>
      <c r="AV3" s="328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8"/>
      <c r="BJ3" s="320"/>
      <c r="BK3" s="320"/>
      <c r="BL3" s="320"/>
      <c r="BM3" s="320"/>
      <c r="BN3" s="320"/>
      <c r="BO3" s="320"/>
      <c r="BP3" s="320"/>
      <c r="BQ3" s="320"/>
      <c r="BR3" s="320"/>
      <c r="BS3" s="328"/>
      <c r="BT3" s="320"/>
      <c r="BU3" s="320"/>
      <c r="BV3" s="320"/>
      <c r="BW3" s="320"/>
      <c r="BX3" s="320"/>
      <c r="BY3" s="320"/>
      <c r="BZ3" s="320"/>
      <c r="CA3" s="320"/>
      <c r="CB3" s="320"/>
      <c r="CC3" s="317"/>
      <c r="CD3" s="328"/>
      <c r="CE3" s="320"/>
      <c r="CF3" s="320"/>
      <c r="CG3" s="320"/>
      <c r="CH3" s="320"/>
      <c r="CI3" s="317"/>
      <c r="CJ3" s="328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17"/>
      <c r="CY3" s="328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</row>
    <row r="4" spans="1:115" x14ac:dyDescent="0.25">
      <c r="A4" s="312" t="s">
        <v>236</v>
      </c>
      <c r="B4" s="640"/>
      <c r="C4" s="319"/>
      <c r="D4" s="318"/>
      <c r="E4" s="318"/>
      <c r="F4" s="326"/>
      <c r="G4" s="326"/>
      <c r="H4" s="323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8"/>
      <c r="Y4" s="323"/>
      <c r="Z4" s="319"/>
      <c r="AA4" s="319"/>
      <c r="AB4" s="319"/>
      <c r="AC4" s="323"/>
      <c r="AD4" s="319"/>
      <c r="AE4" s="319"/>
      <c r="AF4" s="319"/>
      <c r="AG4" s="319"/>
      <c r="AH4" s="319"/>
      <c r="AI4" s="319"/>
      <c r="AJ4" s="319"/>
      <c r="AK4" s="319"/>
      <c r="AL4" s="319"/>
      <c r="AM4" s="318"/>
      <c r="AN4" s="323"/>
      <c r="AO4" s="319"/>
      <c r="AP4" s="319"/>
      <c r="AQ4" s="319"/>
      <c r="AR4" s="319"/>
      <c r="AS4" s="319"/>
      <c r="AT4" s="319"/>
      <c r="AU4" s="318"/>
      <c r="AV4" s="323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23"/>
      <c r="BJ4" s="319"/>
      <c r="BK4" s="319"/>
      <c r="BL4" s="319"/>
      <c r="BM4" s="319"/>
      <c r="BN4" s="319"/>
      <c r="BO4" s="319"/>
      <c r="BP4" s="319"/>
      <c r="BQ4" s="319"/>
      <c r="BR4" s="319"/>
      <c r="BS4" s="323"/>
      <c r="BT4" s="319"/>
      <c r="BU4" s="319"/>
      <c r="BV4" s="319"/>
      <c r="BW4" s="319"/>
      <c r="BX4" s="319"/>
      <c r="BY4" s="319"/>
      <c r="BZ4" s="319"/>
      <c r="CA4" s="319"/>
      <c r="CB4" s="319"/>
      <c r="CC4" s="318"/>
      <c r="CD4" s="323"/>
      <c r="CE4" s="319"/>
      <c r="CF4" s="319"/>
      <c r="CG4" s="319"/>
      <c r="CH4" s="319"/>
      <c r="CI4" s="318"/>
      <c r="CJ4" s="323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8"/>
      <c r="CY4" s="323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</row>
    <row r="5" spans="1:115" ht="15.75" customHeight="1" x14ac:dyDescent="0.25">
      <c r="A5" s="313" t="s">
        <v>237</v>
      </c>
      <c r="B5" s="322"/>
      <c r="C5" s="319"/>
      <c r="D5" s="318"/>
      <c r="E5" s="318"/>
      <c r="F5" s="326"/>
      <c r="G5" s="326"/>
      <c r="H5" s="323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8"/>
      <c r="Y5" s="323"/>
      <c r="Z5" s="319"/>
      <c r="AA5" s="319"/>
      <c r="AB5" s="319"/>
      <c r="AC5" s="323"/>
      <c r="AD5" s="319"/>
      <c r="AE5" s="319"/>
      <c r="AF5" s="319"/>
      <c r="AG5" s="319"/>
      <c r="AH5" s="319"/>
      <c r="AI5" s="319"/>
      <c r="AJ5" s="319"/>
      <c r="AK5" s="319"/>
      <c r="AL5" s="319"/>
      <c r="AM5" s="318"/>
      <c r="AN5" s="323"/>
      <c r="AO5" s="319"/>
      <c r="AP5" s="319"/>
      <c r="AQ5" s="319"/>
      <c r="AR5" s="319"/>
      <c r="AS5" s="319"/>
      <c r="AT5" s="319"/>
      <c r="AU5" s="318"/>
      <c r="AV5" s="323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23"/>
      <c r="BJ5" s="319"/>
      <c r="BK5" s="319"/>
      <c r="BL5" s="319"/>
      <c r="BM5" s="319"/>
      <c r="BN5" s="319"/>
      <c r="BO5" s="319"/>
      <c r="BP5" s="319"/>
      <c r="BQ5" s="319"/>
      <c r="BR5" s="319"/>
      <c r="BS5" s="323"/>
      <c r="BT5" s="319"/>
      <c r="BU5" s="319"/>
      <c r="BV5" s="319"/>
      <c r="BW5" s="319"/>
      <c r="BX5" s="319"/>
      <c r="BY5" s="319"/>
      <c r="BZ5" s="319"/>
      <c r="CA5" s="319"/>
      <c r="CB5" s="319"/>
      <c r="CC5" s="318"/>
      <c r="CD5" s="323"/>
      <c r="CE5" s="319"/>
      <c r="CF5" s="319"/>
      <c r="CG5" s="319"/>
      <c r="CH5" s="319"/>
      <c r="CI5" s="318"/>
      <c r="CJ5" s="323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8"/>
      <c r="CY5" s="323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</row>
    <row r="6" spans="1:115" x14ac:dyDescent="0.25">
      <c r="A6" s="313" t="s">
        <v>238</v>
      </c>
      <c r="B6" s="322"/>
      <c r="C6" s="319"/>
      <c r="D6" s="318"/>
      <c r="E6" s="318"/>
      <c r="F6" s="326"/>
      <c r="G6" s="326"/>
      <c r="H6" s="323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656"/>
      <c r="X6" s="318"/>
      <c r="Y6" s="323"/>
      <c r="Z6" s="319"/>
      <c r="AA6" s="319"/>
      <c r="AB6" s="319"/>
      <c r="AC6" s="323"/>
      <c r="AD6" s="319"/>
      <c r="AE6" s="319"/>
      <c r="AF6" s="319"/>
      <c r="AG6" s="319"/>
      <c r="AH6" s="319"/>
      <c r="AI6" s="319"/>
      <c r="AJ6" s="319"/>
      <c r="AK6" s="319"/>
      <c r="AL6" s="319"/>
      <c r="AM6" s="318"/>
      <c r="AN6" s="323"/>
      <c r="AO6" s="319"/>
      <c r="AP6" s="319"/>
      <c r="AQ6" s="319"/>
      <c r="AR6" s="319"/>
      <c r="AS6" s="319"/>
      <c r="AT6" s="319"/>
      <c r="AU6" s="318"/>
      <c r="AV6" s="323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23"/>
      <c r="BJ6" s="319"/>
      <c r="BK6" s="319"/>
      <c r="BL6" s="319"/>
      <c r="BM6" s="319"/>
      <c r="BN6" s="319"/>
      <c r="BO6" s="319"/>
      <c r="BP6" s="319"/>
      <c r="BQ6" s="319"/>
      <c r="BR6" s="319"/>
      <c r="BS6" s="323"/>
      <c r="BT6" s="319"/>
      <c r="BU6" s="319"/>
      <c r="BV6" s="319"/>
      <c r="BW6" s="319"/>
      <c r="BX6" s="319"/>
      <c r="BY6" s="319"/>
      <c r="BZ6" s="319"/>
      <c r="CA6" s="319"/>
      <c r="CB6" s="319"/>
      <c r="CC6" s="318"/>
      <c r="CD6" s="323"/>
      <c r="CE6" s="319"/>
      <c r="CF6" s="319"/>
      <c r="CG6" s="319"/>
      <c r="CH6" s="319"/>
      <c r="CI6" s="318"/>
      <c r="CJ6" s="323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8"/>
      <c r="CY6" s="323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</row>
    <row r="7" spans="1:115" x14ac:dyDescent="0.25">
      <c r="A7" s="313" t="s">
        <v>239</v>
      </c>
      <c r="B7" s="322"/>
      <c r="C7" s="319"/>
      <c r="D7" s="318"/>
      <c r="E7" s="318"/>
      <c r="F7" s="326"/>
      <c r="G7" s="326"/>
      <c r="H7" s="323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8"/>
      <c r="Y7" s="323"/>
      <c r="Z7" s="319"/>
      <c r="AA7" s="319"/>
      <c r="AB7" s="319"/>
      <c r="AC7" s="323"/>
      <c r="AD7" s="319"/>
      <c r="AE7" s="319"/>
      <c r="AF7" s="319"/>
      <c r="AG7" s="319"/>
      <c r="AH7" s="319"/>
      <c r="AI7" s="319"/>
      <c r="AJ7" s="319"/>
      <c r="AK7" s="319"/>
      <c r="AL7" s="319"/>
      <c r="AM7" s="318"/>
      <c r="AN7" s="323"/>
      <c r="AO7" s="319"/>
      <c r="AP7" s="319"/>
      <c r="AQ7" s="319"/>
      <c r="AR7" s="319"/>
      <c r="AS7" s="319"/>
      <c r="AT7" s="319"/>
      <c r="AU7" s="318"/>
      <c r="AV7" s="323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23"/>
      <c r="BJ7" s="319"/>
      <c r="BK7" s="319"/>
      <c r="BL7" s="319"/>
      <c r="BM7" s="319"/>
      <c r="BN7" s="319"/>
      <c r="BO7" s="319"/>
      <c r="BP7" s="319"/>
      <c r="BQ7" s="319"/>
      <c r="BR7" s="319"/>
      <c r="BS7" s="323"/>
      <c r="BT7" s="319"/>
      <c r="BU7" s="319"/>
      <c r="BV7" s="319"/>
      <c r="BW7" s="319"/>
      <c r="BX7" s="319"/>
      <c r="BY7" s="319"/>
      <c r="BZ7" s="319"/>
      <c r="CA7" s="319"/>
      <c r="CB7" s="319"/>
      <c r="CC7" s="318"/>
      <c r="CD7" s="323"/>
      <c r="CE7" s="319"/>
      <c r="CF7" s="319"/>
      <c r="CG7" s="319"/>
      <c r="CH7" s="319"/>
      <c r="CI7" s="318"/>
      <c r="CJ7" s="323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8"/>
      <c r="CY7" s="323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</row>
    <row r="8" spans="1:115" x14ac:dyDescent="0.25">
      <c r="A8" s="313" t="s">
        <v>240</v>
      </c>
      <c r="B8" s="322"/>
      <c r="C8" s="319"/>
      <c r="D8" s="318"/>
      <c r="E8" s="318"/>
      <c r="F8" s="326"/>
      <c r="G8" s="326"/>
      <c r="H8" s="323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8"/>
      <c r="Y8" s="323"/>
      <c r="Z8" s="319"/>
      <c r="AA8" s="319"/>
      <c r="AB8" s="319"/>
      <c r="AC8" s="323"/>
      <c r="AD8" s="319"/>
      <c r="AE8" s="319"/>
      <c r="AF8" s="319"/>
      <c r="AG8" s="319"/>
      <c r="AH8" s="319"/>
      <c r="AI8" s="319"/>
      <c r="AJ8" s="319"/>
      <c r="AK8" s="319"/>
      <c r="AL8" s="319"/>
      <c r="AM8" s="318"/>
      <c r="AN8" s="323"/>
      <c r="AO8" s="319"/>
      <c r="AP8" s="319"/>
      <c r="AQ8" s="319"/>
      <c r="AR8" s="319"/>
      <c r="AS8" s="319"/>
      <c r="AT8" s="319"/>
      <c r="AU8" s="318"/>
      <c r="AV8" s="323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23"/>
      <c r="BJ8" s="319"/>
      <c r="BK8" s="319"/>
      <c r="BL8" s="319"/>
      <c r="BM8" s="319"/>
      <c r="BN8" s="319"/>
      <c r="BO8" s="319"/>
      <c r="BP8" s="319"/>
      <c r="BQ8" s="319"/>
      <c r="BR8" s="319"/>
      <c r="BS8" s="323"/>
      <c r="BT8" s="319"/>
      <c r="BU8" s="319"/>
      <c r="BV8" s="319"/>
      <c r="BW8" s="319"/>
      <c r="BX8" s="319"/>
      <c r="BY8" s="319"/>
      <c r="BZ8" s="319"/>
      <c r="CA8" s="319"/>
      <c r="CB8" s="319"/>
      <c r="CC8" s="318"/>
      <c r="CD8" s="323"/>
      <c r="CE8" s="319"/>
      <c r="CF8" s="319"/>
      <c r="CG8" s="319"/>
      <c r="CH8" s="319"/>
      <c r="CI8" s="318"/>
      <c r="CJ8" s="323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8"/>
      <c r="CY8" s="323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</row>
    <row r="9" spans="1:115" x14ac:dyDescent="0.25">
      <c r="A9" s="313" t="s">
        <v>241</v>
      </c>
      <c r="B9" s="322"/>
      <c r="C9" s="319"/>
      <c r="D9" s="318"/>
      <c r="E9" s="318"/>
      <c r="F9" s="326"/>
      <c r="G9" s="326"/>
      <c r="H9" s="323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8"/>
      <c r="Y9" s="323"/>
      <c r="Z9" s="319"/>
      <c r="AA9" s="319"/>
      <c r="AB9" s="319"/>
      <c r="AC9" s="323"/>
      <c r="AD9" s="319"/>
      <c r="AE9" s="319"/>
      <c r="AF9" s="319"/>
      <c r="AG9" s="319"/>
      <c r="AH9" s="319"/>
      <c r="AI9" s="319"/>
      <c r="AJ9" s="319"/>
      <c r="AK9" s="319"/>
      <c r="AL9" s="319"/>
      <c r="AM9" s="318"/>
      <c r="AN9" s="323"/>
      <c r="AO9" s="319"/>
      <c r="AP9" s="319"/>
      <c r="AQ9" s="319"/>
      <c r="AR9" s="319"/>
      <c r="AS9" s="319"/>
      <c r="AT9" s="319"/>
      <c r="AU9" s="318"/>
      <c r="AV9" s="323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23"/>
      <c r="BJ9" s="319"/>
      <c r="BK9" s="319"/>
      <c r="BL9" s="319"/>
      <c r="BM9" s="319"/>
      <c r="BN9" s="319"/>
      <c r="BO9" s="319"/>
      <c r="BP9" s="319"/>
      <c r="BQ9" s="319"/>
      <c r="BR9" s="319"/>
      <c r="BS9" s="323"/>
      <c r="BT9" s="319"/>
      <c r="BU9" s="319"/>
      <c r="BV9" s="319"/>
      <c r="BW9" s="319"/>
      <c r="BX9" s="319"/>
      <c r="BY9" s="319"/>
      <c r="BZ9" s="319"/>
      <c r="CA9" s="319"/>
      <c r="CB9" s="319"/>
      <c r="CC9" s="318"/>
      <c r="CD9" s="323"/>
      <c r="CE9" s="319"/>
      <c r="CF9" s="319"/>
      <c r="CG9" s="319"/>
      <c r="CH9" s="319"/>
      <c r="CI9" s="318"/>
      <c r="CJ9" s="323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8"/>
      <c r="CY9" s="323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</row>
    <row r="10" spans="1:115" x14ac:dyDescent="0.25">
      <c r="A10" s="313" t="s">
        <v>242</v>
      </c>
      <c r="B10" s="322"/>
      <c r="C10" s="319"/>
      <c r="D10" s="318"/>
      <c r="E10" s="318"/>
      <c r="F10" s="326"/>
      <c r="G10" s="326"/>
      <c r="H10" s="323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8"/>
      <c r="Y10" s="323"/>
      <c r="Z10" s="319"/>
      <c r="AA10" s="319"/>
      <c r="AB10" s="319"/>
      <c r="AC10" s="323"/>
      <c r="AD10" s="319"/>
      <c r="AE10" s="319"/>
      <c r="AF10" s="319"/>
      <c r="AG10" s="319"/>
      <c r="AH10" s="319"/>
      <c r="AI10" s="319"/>
      <c r="AJ10" s="319"/>
      <c r="AK10" s="319"/>
      <c r="AL10" s="319"/>
      <c r="AM10" s="318"/>
      <c r="AN10" s="323"/>
      <c r="AO10" s="319"/>
      <c r="AP10" s="319"/>
      <c r="AQ10" s="319"/>
      <c r="AR10" s="319"/>
      <c r="AS10" s="319"/>
      <c r="AT10" s="319"/>
      <c r="AU10" s="318"/>
      <c r="AV10" s="323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23"/>
      <c r="BJ10" s="319"/>
      <c r="BK10" s="319"/>
      <c r="BL10" s="319"/>
      <c r="BM10" s="319"/>
      <c r="BN10" s="319"/>
      <c r="BO10" s="319"/>
      <c r="BP10" s="319"/>
      <c r="BQ10" s="319"/>
      <c r="BR10" s="319"/>
      <c r="BS10" s="323"/>
      <c r="BT10" s="319"/>
      <c r="BU10" s="319"/>
      <c r="BV10" s="319"/>
      <c r="BW10" s="319"/>
      <c r="BX10" s="319"/>
      <c r="BY10" s="319"/>
      <c r="BZ10" s="319"/>
      <c r="CA10" s="319"/>
      <c r="CB10" s="319"/>
      <c r="CC10" s="318"/>
      <c r="CD10" s="323"/>
      <c r="CE10" s="319"/>
      <c r="CF10" s="319"/>
      <c r="CG10" s="319"/>
      <c r="CH10" s="319"/>
      <c r="CI10" s="318"/>
      <c r="CJ10" s="323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8"/>
      <c r="CY10" s="323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</row>
    <row r="11" spans="1:115" x14ac:dyDescent="0.25">
      <c r="A11" s="313" t="s">
        <v>243</v>
      </c>
      <c r="B11" s="323"/>
      <c r="C11" s="319"/>
      <c r="D11" s="318"/>
      <c r="E11" s="318"/>
      <c r="F11" s="326"/>
      <c r="G11" s="326"/>
      <c r="H11" s="323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8"/>
      <c r="Y11" s="323"/>
      <c r="Z11" s="319"/>
      <c r="AA11" s="319"/>
      <c r="AB11" s="319"/>
      <c r="AC11" s="323"/>
      <c r="AD11" s="319"/>
      <c r="AE11" s="319"/>
      <c r="AF11" s="319"/>
      <c r="AG11" s="319"/>
      <c r="AH11" s="319"/>
      <c r="AI11" s="319"/>
      <c r="AJ11" s="319"/>
      <c r="AK11" s="319"/>
      <c r="AL11" s="319"/>
      <c r="AM11" s="318"/>
      <c r="AN11" s="323"/>
      <c r="AO11" s="319"/>
      <c r="AP11" s="319"/>
      <c r="AQ11" s="319"/>
      <c r="AR11" s="319"/>
      <c r="AS11" s="319"/>
      <c r="AT11" s="319"/>
      <c r="AU11" s="318"/>
      <c r="AV11" s="323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23"/>
      <c r="BJ11" s="319"/>
      <c r="BK11" s="319"/>
      <c r="BL11" s="319"/>
      <c r="BM11" s="319"/>
      <c r="BN11" s="319"/>
      <c r="BO11" s="319"/>
      <c r="BP11" s="319"/>
      <c r="BQ11" s="319"/>
      <c r="BR11" s="319"/>
      <c r="BS11" s="323"/>
      <c r="BT11" s="319"/>
      <c r="BU11" s="319"/>
      <c r="BV11" s="319"/>
      <c r="BW11" s="319"/>
      <c r="BX11" s="319"/>
      <c r="BY11" s="319"/>
      <c r="BZ11" s="319"/>
      <c r="CA11" s="319"/>
      <c r="CB11" s="319"/>
      <c r="CC11" s="318"/>
      <c r="CD11" s="323"/>
      <c r="CE11" s="319"/>
      <c r="CF11" s="319"/>
      <c r="CG11" s="319"/>
      <c r="CH11" s="319"/>
      <c r="CI11" s="318"/>
      <c r="CJ11" s="323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8"/>
      <c r="CY11" s="323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</row>
    <row r="12" spans="1:115" x14ac:dyDescent="0.25">
      <c r="A12" s="313" t="s">
        <v>244</v>
      </c>
      <c r="B12" s="323"/>
      <c r="C12" s="319"/>
      <c r="D12" s="318"/>
      <c r="E12" s="318"/>
      <c r="F12" s="326"/>
      <c r="G12" s="326"/>
      <c r="H12" s="323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8"/>
      <c r="Y12" s="323"/>
      <c r="Z12" s="319"/>
      <c r="AA12" s="319"/>
      <c r="AB12" s="319"/>
      <c r="AC12" s="323"/>
      <c r="AD12" s="319"/>
      <c r="AE12" s="319"/>
      <c r="AF12" s="319"/>
      <c r="AG12" s="319"/>
      <c r="AH12" s="319"/>
      <c r="AI12" s="319"/>
      <c r="AJ12" s="319"/>
      <c r="AK12" s="319"/>
      <c r="AL12" s="319"/>
      <c r="AM12" s="318"/>
      <c r="AN12" s="323"/>
      <c r="AO12" s="319"/>
      <c r="AP12" s="319"/>
      <c r="AQ12" s="319"/>
      <c r="AR12" s="319"/>
      <c r="AS12" s="319"/>
      <c r="AT12" s="319"/>
      <c r="AU12" s="318"/>
      <c r="AV12" s="323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23"/>
      <c r="BJ12" s="319"/>
      <c r="BK12" s="319"/>
      <c r="BL12" s="319"/>
      <c r="BM12" s="319"/>
      <c r="BN12" s="319"/>
      <c r="BO12" s="319"/>
      <c r="BP12" s="319"/>
      <c r="BQ12" s="319"/>
      <c r="BR12" s="319"/>
      <c r="BS12" s="323"/>
      <c r="BT12" s="319"/>
      <c r="BU12" s="319"/>
      <c r="BV12" s="319"/>
      <c r="BW12" s="319"/>
      <c r="BX12" s="319"/>
      <c r="BY12" s="319"/>
      <c r="BZ12" s="319"/>
      <c r="CA12" s="319"/>
      <c r="CB12" s="319"/>
      <c r="CC12" s="318"/>
      <c r="CD12" s="323"/>
      <c r="CE12" s="319"/>
      <c r="CF12" s="319"/>
      <c r="CG12" s="319"/>
      <c r="CH12" s="319"/>
      <c r="CI12" s="318"/>
      <c r="CJ12" s="323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8"/>
      <c r="CY12" s="323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</row>
    <row r="13" spans="1:115" x14ac:dyDescent="0.25">
      <c r="A13" s="313" t="s">
        <v>245</v>
      </c>
      <c r="B13" s="323"/>
      <c r="C13" s="319"/>
      <c r="D13" s="318"/>
      <c r="E13" s="318"/>
      <c r="F13" s="326"/>
      <c r="G13" s="326"/>
      <c r="H13" s="323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8"/>
      <c r="Y13" s="323"/>
      <c r="Z13" s="319"/>
      <c r="AA13" s="319"/>
      <c r="AB13" s="319"/>
      <c r="AC13" s="323"/>
      <c r="AD13" s="319"/>
      <c r="AE13" s="319"/>
      <c r="AF13" s="319"/>
      <c r="AG13" s="319"/>
      <c r="AH13" s="319"/>
      <c r="AI13" s="319"/>
      <c r="AJ13" s="319"/>
      <c r="AK13" s="319"/>
      <c r="AL13" s="319"/>
      <c r="AM13" s="318"/>
      <c r="AN13" s="323"/>
      <c r="AO13" s="319"/>
      <c r="AP13" s="319"/>
      <c r="AQ13" s="319"/>
      <c r="AR13" s="319"/>
      <c r="AS13" s="319"/>
      <c r="AT13" s="319"/>
      <c r="AU13" s="318"/>
      <c r="AV13" s="323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23"/>
      <c r="BJ13" s="319"/>
      <c r="BK13" s="319"/>
      <c r="BL13" s="319"/>
      <c r="BM13" s="319"/>
      <c r="BN13" s="319"/>
      <c r="BO13" s="319"/>
      <c r="BP13" s="319"/>
      <c r="BQ13" s="319"/>
      <c r="BR13" s="319"/>
      <c r="BS13" s="323"/>
      <c r="BT13" s="319"/>
      <c r="BU13" s="319"/>
      <c r="BV13" s="319"/>
      <c r="BW13" s="319"/>
      <c r="BX13" s="319"/>
      <c r="BY13" s="319"/>
      <c r="BZ13" s="319"/>
      <c r="CA13" s="319"/>
      <c r="CB13" s="319"/>
      <c r="CC13" s="318"/>
      <c r="CD13" s="323"/>
      <c r="CE13" s="319"/>
      <c r="CF13" s="319"/>
      <c r="CG13" s="319"/>
      <c r="CH13" s="319"/>
      <c r="CI13" s="318"/>
      <c r="CJ13" s="323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8"/>
      <c r="CY13" s="323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</row>
    <row r="14" spans="1:115" x14ac:dyDescent="0.25">
      <c r="A14" s="313" t="s">
        <v>246</v>
      </c>
      <c r="B14" s="323"/>
      <c r="C14" s="319"/>
      <c r="D14" s="318"/>
      <c r="E14" s="318"/>
      <c r="F14" s="326"/>
      <c r="G14" s="326"/>
      <c r="H14" s="323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8"/>
      <c r="Y14" s="323"/>
      <c r="Z14" s="319"/>
      <c r="AA14" s="319"/>
      <c r="AB14" s="319"/>
      <c r="AC14" s="323"/>
      <c r="AD14" s="319"/>
      <c r="AE14" s="319"/>
      <c r="AF14" s="319"/>
      <c r="AG14" s="319"/>
      <c r="AH14" s="319"/>
      <c r="AI14" s="319"/>
      <c r="AJ14" s="319"/>
      <c r="AK14" s="319"/>
      <c r="AL14" s="319"/>
      <c r="AM14" s="318"/>
      <c r="AN14" s="323"/>
      <c r="AO14" s="319"/>
      <c r="AP14" s="319"/>
      <c r="AQ14" s="319"/>
      <c r="AR14" s="319"/>
      <c r="AS14" s="319"/>
      <c r="AT14" s="319"/>
      <c r="AU14" s="318"/>
      <c r="AV14" s="323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23"/>
      <c r="BJ14" s="319"/>
      <c r="BK14" s="319"/>
      <c r="BL14" s="319"/>
      <c r="BM14" s="319"/>
      <c r="BN14" s="319"/>
      <c r="BO14" s="319"/>
      <c r="BP14" s="319"/>
      <c r="BQ14" s="319"/>
      <c r="BR14" s="319"/>
      <c r="BS14" s="323"/>
      <c r="BT14" s="319"/>
      <c r="BU14" s="319"/>
      <c r="BV14" s="319"/>
      <c r="BW14" s="319"/>
      <c r="BX14" s="319"/>
      <c r="BY14" s="319"/>
      <c r="BZ14" s="319"/>
      <c r="CA14" s="319"/>
      <c r="CB14" s="319"/>
      <c r="CC14" s="318"/>
      <c r="CD14" s="323"/>
      <c r="CE14" s="319"/>
      <c r="CF14" s="319"/>
      <c r="CG14" s="319"/>
      <c r="CH14" s="319"/>
      <c r="CI14" s="318"/>
      <c r="CJ14" s="323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8"/>
      <c r="CY14" s="323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</row>
    <row r="15" spans="1:115" x14ac:dyDescent="0.25">
      <c r="A15" s="313" t="s">
        <v>247</v>
      </c>
      <c r="B15" s="323"/>
      <c r="C15" s="319"/>
      <c r="D15" s="318"/>
      <c r="E15" s="318"/>
      <c r="F15" s="326"/>
      <c r="G15" s="326"/>
      <c r="H15" s="323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8"/>
      <c r="Y15" s="323"/>
      <c r="Z15" s="319"/>
      <c r="AA15" s="319"/>
      <c r="AB15" s="319"/>
      <c r="AC15" s="323"/>
      <c r="AD15" s="319"/>
      <c r="AE15" s="319"/>
      <c r="AF15" s="319"/>
      <c r="AG15" s="319"/>
      <c r="AH15" s="319"/>
      <c r="AI15" s="319"/>
      <c r="AJ15" s="319"/>
      <c r="AK15" s="319"/>
      <c r="AL15" s="319"/>
      <c r="AM15" s="318"/>
      <c r="AN15" s="323"/>
      <c r="AO15" s="319"/>
      <c r="AP15" s="319"/>
      <c r="AQ15" s="319"/>
      <c r="AR15" s="319"/>
      <c r="AS15" s="319"/>
      <c r="AT15" s="319"/>
      <c r="AU15" s="318"/>
      <c r="AV15" s="323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23"/>
      <c r="BJ15" s="319"/>
      <c r="BK15" s="319"/>
      <c r="BL15" s="319"/>
      <c r="BM15" s="319"/>
      <c r="BN15" s="319"/>
      <c r="BO15" s="319"/>
      <c r="BP15" s="319"/>
      <c r="BQ15" s="319"/>
      <c r="BR15" s="319"/>
      <c r="BS15" s="323"/>
      <c r="BT15" s="319"/>
      <c r="BU15" s="319"/>
      <c r="BV15" s="319"/>
      <c r="BW15" s="319"/>
      <c r="BX15" s="319"/>
      <c r="BY15" s="319"/>
      <c r="BZ15" s="319"/>
      <c r="CA15" s="319"/>
      <c r="CB15" s="319"/>
      <c r="CC15" s="318"/>
      <c r="CD15" s="323"/>
      <c r="CE15" s="319"/>
      <c r="CF15" s="319"/>
      <c r="CG15" s="319"/>
      <c r="CH15" s="319"/>
      <c r="CI15" s="318"/>
      <c r="CJ15" s="323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8"/>
      <c r="CY15" s="323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</row>
    <row r="16" spans="1:115" x14ac:dyDescent="0.25">
      <c r="A16" s="313" t="s">
        <v>248</v>
      </c>
      <c r="B16" s="323"/>
      <c r="C16" s="319"/>
      <c r="D16" s="318"/>
      <c r="E16" s="318"/>
      <c r="F16" s="326"/>
      <c r="G16" s="326"/>
      <c r="H16" s="323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8"/>
      <c r="Y16" s="323"/>
      <c r="Z16" s="319"/>
      <c r="AA16" s="319"/>
      <c r="AB16" s="319"/>
      <c r="AC16" s="323"/>
      <c r="AD16" s="319"/>
      <c r="AE16" s="319"/>
      <c r="AF16" s="319"/>
      <c r="AG16" s="319"/>
      <c r="AH16" s="319"/>
      <c r="AI16" s="319"/>
      <c r="AJ16" s="319"/>
      <c r="AK16" s="319"/>
      <c r="AL16" s="319"/>
      <c r="AM16" s="318"/>
      <c r="AN16" s="323"/>
      <c r="AO16" s="319"/>
      <c r="AP16" s="319"/>
      <c r="AQ16" s="319"/>
      <c r="AR16" s="319"/>
      <c r="AS16" s="319"/>
      <c r="AT16" s="319"/>
      <c r="AU16" s="318"/>
      <c r="AV16" s="323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23"/>
      <c r="BJ16" s="319"/>
      <c r="BK16" s="319"/>
      <c r="BL16" s="319"/>
      <c r="BM16" s="319"/>
      <c r="BN16" s="319"/>
      <c r="BO16" s="319"/>
      <c r="BP16" s="319"/>
      <c r="BQ16" s="319"/>
      <c r="BR16" s="319"/>
      <c r="BS16" s="323"/>
      <c r="BT16" s="319"/>
      <c r="BU16" s="319"/>
      <c r="BV16" s="319"/>
      <c r="BW16" s="319"/>
      <c r="BX16" s="319"/>
      <c r="BY16" s="319"/>
      <c r="BZ16" s="319"/>
      <c r="CA16" s="319"/>
      <c r="CB16" s="319"/>
      <c r="CC16" s="318"/>
      <c r="CD16" s="323"/>
      <c r="CE16" s="319"/>
      <c r="CF16" s="319"/>
      <c r="CG16" s="319"/>
      <c r="CH16" s="319"/>
      <c r="CI16" s="318"/>
      <c r="CJ16" s="323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8"/>
      <c r="CY16" s="323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</row>
    <row r="17" spans="1:115" x14ac:dyDescent="0.25">
      <c r="A17" s="313" t="s">
        <v>249</v>
      </c>
      <c r="B17" s="323"/>
      <c r="C17" s="319"/>
      <c r="D17" s="318"/>
      <c r="E17" s="318"/>
      <c r="F17" s="326"/>
      <c r="G17" s="326"/>
      <c r="H17" s="323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8"/>
      <c r="Y17" s="323"/>
      <c r="Z17" s="319"/>
      <c r="AA17" s="319"/>
      <c r="AB17" s="319"/>
      <c r="AC17" s="323"/>
      <c r="AD17" s="319"/>
      <c r="AE17" s="319"/>
      <c r="AF17" s="319"/>
      <c r="AG17" s="319"/>
      <c r="AH17" s="319"/>
      <c r="AI17" s="319"/>
      <c r="AJ17" s="319"/>
      <c r="AK17" s="319"/>
      <c r="AL17" s="319"/>
      <c r="AM17" s="318"/>
      <c r="AN17" s="323"/>
      <c r="AO17" s="319"/>
      <c r="AP17" s="319"/>
      <c r="AQ17" s="319"/>
      <c r="AR17" s="319"/>
      <c r="AS17" s="319"/>
      <c r="AT17" s="319"/>
      <c r="AU17" s="318"/>
      <c r="AV17" s="323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23"/>
      <c r="BJ17" s="319"/>
      <c r="BK17" s="319"/>
      <c r="BL17" s="319"/>
      <c r="BM17" s="319"/>
      <c r="BN17" s="319"/>
      <c r="BO17" s="319"/>
      <c r="BP17" s="319"/>
      <c r="BQ17" s="319"/>
      <c r="BR17" s="319"/>
      <c r="BS17" s="323"/>
      <c r="BT17" s="319"/>
      <c r="BU17" s="319"/>
      <c r="BV17" s="319"/>
      <c r="BW17" s="319"/>
      <c r="BX17" s="319"/>
      <c r="BY17" s="319"/>
      <c r="BZ17" s="319"/>
      <c r="CA17" s="319"/>
      <c r="CB17" s="319"/>
      <c r="CC17" s="318"/>
      <c r="CD17" s="323"/>
      <c r="CE17" s="319"/>
      <c r="CF17" s="319"/>
      <c r="CG17" s="319"/>
      <c r="CH17" s="319"/>
      <c r="CI17" s="318"/>
      <c r="CJ17" s="323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8"/>
      <c r="CY17" s="323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</row>
    <row r="18" spans="1:115" x14ac:dyDescent="0.25">
      <c r="A18" s="313" t="s">
        <v>250</v>
      </c>
      <c r="B18" s="323"/>
      <c r="C18" s="319"/>
      <c r="D18" s="318"/>
      <c r="E18" s="318"/>
      <c r="F18" s="326"/>
      <c r="G18" s="326"/>
      <c r="H18" s="323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8"/>
      <c r="Y18" s="323"/>
      <c r="Z18" s="319"/>
      <c r="AA18" s="319"/>
      <c r="AB18" s="319"/>
      <c r="AC18" s="323"/>
      <c r="AD18" s="319"/>
      <c r="AE18" s="319"/>
      <c r="AF18" s="319"/>
      <c r="AG18" s="319"/>
      <c r="AH18" s="319"/>
      <c r="AI18" s="319"/>
      <c r="AJ18" s="319"/>
      <c r="AK18" s="319"/>
      <c r="AL18" s="319"/>
      <c r="AM18" s="318"/>
      <c r="AN18" s="323"/>
      <c r="AO18" s="319"/>
      <c r="AP18" s="319"/>
      <c r="AQ18" s="319"/>
      <c r="AR18" s="319"/>
      <c r="AS18" s="319"/>
      <c r="AT18" s="319"/>
      <c r="AU18" s="318"/>
      <c r="AV18" s="323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23"/>
      <c r="BJ18" s="319"/>
      <c r="BK18" s="319"/>
      <c r="BL18" s="319"/>
      <c r="BM18" s="319"/>
      <c r="BN18" s="319"/>
      <c r="BO18" s="319"/>
      <c r="BP18" s="319"/>
      <c r="BQ18" s="319"/>
      <c r="BR18" s="319"/>
      <c r="BS18" s="323"/>
      <c r="BT18" s="319"/>
      <c r="BU18" s="319"/>
      <c r="BV18" s="319"/>
      <c r="BW18" s="319"/>
      <c r="BX18" s="319"/>
      <c r="BY18" s="319"/>
      <c r="BZ18" s="319"/>
      <c r="CA18" s="319"/>
      <c r="CB18" s="319"/>
      <c r="CC18" s="318"/>
      <c r="CD18" s="323"/>
      <c r="CE18" s="319"/>
      <c r="CF18" s="319"/>
      <c r="CG18" s="319"/>
      <c r="CH18" s="319"/>
      <c r="CI18" s="318"/>
      <c r="CJ18" s="323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8"/>
      <c r="CY18" s="323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</row>
    <row r="19" spans="1:115" x14ac:dyDescent="0.25">
      <c r="A19" s="313" t="s">
        <v>251</v>
      </c>
      <c r="B19" s="323"/>
      <c r="C19" s="319"/>
      <c r="D19" s="318"/>
      <c r="E19" s="318"/>
      <c r="F19" s="326"/>
      <c r="G19" s="326"/>
      <c r="H19" s="323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8"/>
      <c r="Y19" s="323"/>
      <c r="Z19" s="319"/>
      <c r="AA19" s="319"/>
      <c r="AB19" s="319"/>
      <c r="AC19" s="323"/>
      <c r="AD19" s="319"/>
      <c r="AE19" s="319"/>
      <c r="AF19" s="319"/>
      <c r="AG19" s="319"/>
      <c r="AH19" s="319"/>
      <c r="AI19" s="319"/>
      <c r="AJ19" s="319"/>
      <c r="AK19" s="319"/>
      <c r="AL19" s="319"/>
      <c r="AM19" s="318"/>
      <c r="AN19" s="323"/>
      <c r="AO19" s="319"/>
      <c r="AP19" s="319"/>
      <c r="AQ19" s="319"/>
      <c r="AR19" s="319"/>
      <c r="AS19" s="319"/>
      <c r="AT19" s="319"/>
      <c r="AU19" s="318"/>
      <c r="AV19" s="323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23"/>
      <c r="BJ19" s="319"/>
      <c r="BK19" s="319"/>
      <c r="BL19" s="319"/>
      <c r="BM19" s="319"/>
      <c r="BN19" s="319"/>
      <c r="BO19" s="319"/>
      <c r="BP19" s="319"/>
      <c r="BQ19" s="319"/>
      <c r="BR19" s="319"/>
      <c r="BS19" s="323"/>
      <c r="BT19" s="319"/>
      <c r="BU19" s="319"/>
      <c r="BV19" s="319"/>
      <c r="BW19" s="319"/>
      <c r="BX19" s="319"/>
      <c r="BY19" s="319"/>
      <c r="BZ19" s="319"/>
      <c r="CA19" s="319"/>
      <c r="CB19" s="319"/>
      <c r="CC19" s="318"/>
      <c r="CD19" s="323"/>
      <c r="CE19" s="319"/>
      <c r="CF19" s="319"/>
      <c r="CG19" s="319"/>
      <c r="CH19" s="319"/>
      <c r="CI19" s="318"/>
      <c r="CJ19" s="323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8"/>
      <c r="CY19" s="323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</row>
    <row r="20" spans="1:115" x14ac:dyDescent="0.25">
      <c r="A20" s="313" t="s">
        <v>252</v>
      </c>
      <c r="B20" s="323"/>
      <c r="C20" s="319"/>
      <c r="D20" s="318"/>
      <c r="E20" s="318"/>
      <c r="F20" s="326"/>
      <c r="G20" s="326"/>
      <c r="H20" s="323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8"/>
      <c r="Y20" s="323"/>
      <c r="Z20" s="319"/>
      <c r="AA20" s="319"/>
      <c r="AB20" s="319"/>
      <c r="AC20" s="323"/>
      <c r="AD20" s="319"/>
      <c r="AE20" s="319"/>
      <c r="AF20" s="319"/>
      <c r="AG20" s="319"/>
      <c r="AH20" s="319"/>
      <c r="AI20" s="319"/>
      <c r="AJ20" s="319"/>
      <c r="AK20" s="319"/>
      <c r="AL20" s="319"/>
      <c r="AM20" s="318"/>
      <c r="AN20" s="323"/>
      <c r="AO20" s="319"/>
      <c r="AP20" s="319"/>
      <c r="AQ20" s="319"/>
      <c r="AR20" s="319"/>
      <c r="AS20" s="319"/>
      <c r="AT20" s="319"/>
      <c r="AU20" s="318"/>
      <c r="AV20" s="323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23"/>
      <c r="BJ20" s="319"/>
      <c r="BK20" s="319"/>
      <c r="BL20" s="319"/>
      <c r="BM20" s="319"/>
      <c r="BN20" s="319"/>
      <c r="BO20" s="319"/>
      <c r="BP20" s="319"/>
      <c r="BQ20" s="319"/>
      <c r="BR20" s="319"/>
      <c r="BS20" s="323"/>
      <c r="BT20" s="319"/>
      <c r="BU20" s="319"/>
      <c r="BV20" s="319"/>
      <c r="BW20" s="319"/>
      <c r="BX20" s="319"/>
      <c r="BY20" s="319"/>
      <c r="BZ20" s="319"/>
      <c r="CA20" s="319"/>
      <c r="CB20" s="319"/>
      <c r="CC20" s="318"/>
      <c r="CD20" s="323"/>
      <c r="CE20" s="319"/>
      <c r="CF20" s="319"/>
      <c r="CG20" s="319"/>
      <c r="CH20" s="319"/>
      <c r="CI20" s="318"/>
      <c r="CJ20" s="323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8"/>
      <c r="CY20" s="323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</row>
    <row r="21" spans="1:115" x14ac:dyDescent="0.25">
      <c r="A21" s="313" t="s">
        <v>253</v>
      </c>
      <c r="B21" s="323"/>
      <c r="C21" s="319"/>
      <c r="D21" s="318"/>
      <c r="E21" s="318"/>
      <c r="F21" s="326"/>
      <c r="G21" s="326"/>
      <c r="H21" s="323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8"/>
      <c r="Y21" s="323"/>
      <c r="Z21" s="319"/>
      <c r="AA21" s="319"/>
      <c r="AB21" s="319"/>
      <c r="AC21" s="323"/>
      <c r="AD21" s="319"/>
      <c r="AE21" s="319"/>
      <c r="AF21" s="319"/>
      <c r="AG21" s="319"/>
      <c r="AH21" s="319"/>
      <c r="AI21" s="319"/>
      <c r="AJ21" s="319"/>
      <c r="AK21" s="319"/>
      <c r="AL21" s="319"/>
      <c r="AM21" s="318"/>
      <c r="AN21" s="323"/>
      <c r="AO21" s="319"/>
      <c r="AP21" s="319"/>
      <c r="AQ21" s="319"/>
      <c r="AR21" s="319"/>
      <c r="AS21" s="319"/>
      <c r="AT21" s="319"/>
      <c r="AU21" s="318"/>
      <c r="AV21" s="323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23"/>
      <c r="BJ21" s="319"/>
      <c r="BK21" s="319"/>
      <c r="BL21" s="319"/>
      <c r="BM21" s="319"/>
      <c r="BN21" s="319"/>
      <c r="BO21" s="319"/>
      <c r="BP21" s="319"/>
      <c r="BQ21" s="319"/>
      <c r="BR21" s="319"/>
      <c r="BS21" s="323"/>
      <c r="BT21" s="319"/>
      <c r="BU21" s="319"/>
      <c r="BV21" s="319"/>
      <c r="BW21" s="319"/>
      <c r="BX21" s="319"/>
      <c r="BY21" s="319"/>
      <c r="BZ21" s="319"/>
      <c r="CA21" s="319"/>
      <c r="CB21" s="319"/>
      <c r="CC21" s="318"/>
      <c r="CD21" s="323"/>
      <c r="CE21" s="319"/>
      <c r="CF21" s="319"/>
      <c r="CG21" s="319"/>
      <c r="CH21" s="319"/>
      <c r="CI21" s="318"/>
      <c r="CJ21" s="323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8"/>
      <c r="CY21" s="323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</row>
    <row r="22" spans="1:115" x14ac:dyDescent="0.25">
      <c r="A22" s="313" t="s">
        <v>254</v>
      </c>
      <c r="B22" s="323"/>
      <c r="C22" s="319"/>
      <c r="D22" s="318"/>
      <c r="E22" s="318"/>
      <c r="F22" s="326"/>
      <c r="G22" s="326"/>
      <c r="H22" s="323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8"/>
      <c r="Y22" s="323"/>
      <c r="Z22" s="319"/>
      <c r="AA22" s="319"/>
      <c r="AB22" s="319"/>
      <c r="AC22" s="323"/>
      <c r="AD22" s="319"/>
      <c r="AE22" s="319"/>
      <c r="AF22" s="319"/>
      <c r="AG22" s="319"/>
      <c r="AH22" s="319"/>
      <c r="AI22" s="319"/>
      <c r="AJ22" s="319"/>
      <c r="AK22" s="319"/>
      <c r="AL22" s="319"/>
      <c r="AM22" s="318"/>
      <c r="AN22" s="323"/>
      <c r="AO22" s="319"/>
      <c r="AP22" s="319"/>
      <c r="AQ22" s="319"/>
      <c r="AR22" s="319"/>
      <c r="AS22" s="319"/>
      <c r="AT22" s="319"/>
      <c r="AU22" s="318"/>
      <c r="AV22" s="323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23"/>
      <c r="BJ22" s="319"/>
      <c r="BK22" s="319"/>
      <c r="BL22" s="319"/>
      <c r="BM22" s="319"/>
      <c r="BN22" s="319"/>
      <c r="BO22" s="319"/>
      <c r="BP22" s="319"/>
      <c r="BQ22" s="319"/>
      <c r="BR22" s="319"/>
      <c r="BS22" s="323"/>
      <c r="BT22" s="319"/>
      <c r="BU22" s="319"/>
      <c r="BV22" s="319"/>
      <c r="BW22" s="319"/>
      <c r="BX22" s="319"/>
      <c r="BY22" s="319"/>
      <c r="BZ22" s="319"/>
      <c r="CA22" s="319"/>
      <c r="CB22" s="319"/>
      <c r="CC22" s="318"/>
      <c r="CD22" s="323"/>
      <c r="CE22" s="319"/>
      <c r="CF22" s="319"/>
      <c r="CG22" s="319"/>
      <c r="CH22" s="319"/>
      <c r="CI22" s="318"/>
      <c r="CJ22" s="323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8"/>
      <c r="CY22" s="323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</row>
    <row r="23" spans="1:115" x14ac:dyDescent="0.25">
      <c r="A23" s="313" t="s">
        <v>255</v>
      </c>
      <c r="B23" s="323"/>
      <c r="C23" s="319"/>
      <c r="D23" s="318"/>
      <c r="E23" s="318"/>
      <c r="F23" s="326"/>
      <c r="G23" s="326"/>
      <c r="H23" s="323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8"/>
      <c r="Y23" s="323"/>
      <c r="Z23" s="319"/>
      <c r="AA23" s="319"/>
      <c r="AB23" s="319"/>
      <c r="AC23" s="323"/>
      <c r="AD23" s="319"/>
      <c r="AE23" s="319"/>
      <c r="AF23" s="319"/>
      <c r="AG23" s="319"/>
      <c r="AH23" s="319"/>
      <c r="AI23" s="319"/>
      <c r="AJ23" s="319"/>
      <c r="AK23" s="319"/>
      <c r="AL23" s="319"/>
      <c r="AM23" s="318"/>
      <c r="AN23" s="323"/>
      <c r="AO23" s="319"/>
      <c r="AP23" s="319"/>
      <c r="AQ23" s="319"/>
      <c r="AR23" s="319"/>
      <c r="AS23" s="319"/>
      <c r="AT23" s="319"/>
      <c r="AU23" s="318"/>
      <c r="AV23" s="323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23"/>
      <c r="BJ23" s="319"/>
      <c r="BK23" s="319"/>
      <c r="BL23" s="319"/>
      <c r="BM23" s="319"/>
      <c r="BN23" s="319"/>
      <c r="BO23" s="319"/>
      <c r="BP23" s="319"/>
      <c r="BQ23" s="319"/>
      <c r="BR23" s="319"/>
      <c r="BS23" s="323"/>
      <c r="BT23" s="319"/>
      <c r="BU23" s="319"/>
      <c r="BV23" s="319"/>
      <c r="BW23" s="319"/>
      <c r="BX23" s="319"/>
      <c r="BY23" s="319"/>
      <c r="BZ23" s="319"/>
      <c r="CA23" s="319"/>
      <c r="CB23" s="319"/>
      <c r="CC23" s="318"/>
      <c r="CD23" s="323"/>
      <c r="CE23" s="319"/>
      <c r="CF23" s="319"/>
      <c r="CG23" s="319"/>
      <c r="CH23" s="319"/>
      <c r="CI23" s="318"/>
      <c r="CJ23" s="323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8"/>
      <c r="CY23" s="323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</row>
    <row r="24" spans="1:115" x14ac:dyDescent="0.25">
      <c r="A24" s="313" t="s">
        <v>256</v>
      </c>
      <c r="B24" s="323"/>
      <c r="C24" s="319"/>
      <c r="D24" s="318"/>
      <c r="E24" s="318"/>
      <c r="F24" s="326"/>
      <c r="G24" s="326"/>
      <c r="H24" s="323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8"/>
      <c r="Y24" s="323"/>
      <c r="Z24" s="319"/>
      <c r="AA24" s="319"/>
      <c r="AB24" s="319"/>
      <c r="AC24" s="323"/>
      <c r="AD24" s="319"/>
      <c r="AE24" s="319"/>
      <c r="AF24" s="319"/>
      <c r="AG24" s="319"/>
      <c r="AH24" s="319"/>
      <c r="AI24" s="319"/>
      <c r="AJ24" s="319"/>
      <c r="AK24" s="319"/>
      <c r="AL24" s="319"/>
      <c r="AM24" s="318"/>
      <c r="AN24" s="323"/>
      <c r="AO24" s="319"/>
      <c r="AP24" s="319"/>
      <c r="AQ24" s="319"/>
      <c r="AR24" s="319"/>
      <c r="AS24" s="319"/>
      <c r="AT24" s="319"/>
      <c r="AU24" s="318"/>
      <c r="AV24" s="323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23"/>
      <c r="BJ24" s="319"/>
      <c r="BK24" s="319"/>
      <c r="BL24" s="319"/>
      <c r="BM24" s="319"/>
      <c r="BN24" s="319"/>
      <c r="BO24" s="319"/>
      <c r="BP24" s="319"/>
      <c r="BQ24" s="319"/>
      <c r="BR24" s="319"/>
      <c r="BS24" s="323"/>
      <c r="BT24" s="319"/>
      <c r="BU24" s="319"/>
      <c r="BV24" s="319"/>
      <c r="BW24" s="319"/>
      <c r="BX24" s="319"/>
      <c r="BY24" s="319"/>
      <c r="BZ24" s="319"/>
      <c r="CA24" s="319"/>
      <c r="CB24" s="319"/>
      <c r="CC24" s="318"/>
      <c r="CD24" s="323"/>
      <c r="CE24" s="319"/>
      <c r="CF24" s="319"/>
      <c r="CG24" s="319"/>
      <c r="CH24" s="319"/>
      <c r="CI24" s="318"/>
      <c r="CJ24" s="323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8"/>
      <c r="CY24" s="323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</row>
    <row r="25" spans="1:115" x14ac:dyDescent="0.25">
      <c r="A25" s="313" t="s">
        <v>257</v>
      </c>
      <c r="B25" s="323"/>
      <c r="C25" s="319"/>
      <c r="D25" s="318"/>
      <c r="E25" s="318"/>
      <c r="F25" s="326"/>
      <c r="G25" s="326"/>
      <c r="H25" s="323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8"/>
      <c r="Y25" s="323"/>
      <c r="Z25" s="319"/>
      <c r="AA25" s="319"/>
      <c r="AB25" s="319"/>
      <c r="AC25" s="323"/>
      <c r="AD25" s="319"/>
      <c r="AE25" s="319"/>
      <c r="AF25" s="319"/>
      <c r="AG25" s="319"/>
      <c r="AH25" s="319"/>
      <c r="AI25" s="319"/>
      <c r="AJ25" s="319"/>
      <c r="AK25" s="319"/>
      <c r="AL25" s="319"/>
      <c r="AM25" s="318"/>
      <c r="AN25" s="323"/>
      <c r="AO25" s="319"/>
      <c r="AP25" s="319"/>
      <c r="AQ25" s="319"/>
      <c r="AR25" s="319"/>
      <c r="AS25" s="319"/>
      <c r="AT25" s="319"/>
      <c r="AU25" s="318"/>
      <c r="AV25" s="323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23"/>
      <c r="BJ25" s="319"/>
      <c r="BK25" s="319"/>
      <c r="BL25" s="319"/>
      <c r="BM25" s="319"/>
      <c r="BN25" s="319"/>
      <c r="BO25" s="319"/>
      <c r="BP25" s="319"/>
      <c r="BQ25" s="319"/>
      <c r="BR25" s="319"/>
      <c r="BS25" s="323"/>
      <c r="BT25" s="319"/>
      <c r="BU25" s="319"/>
      <c r="BV25" s="319"/>
      <c r="BW25" s="319"/>
      <c r="BX25" s="319"/>
      <c r="BY25" s="319"/>
      <c r="BZ25" s="319"/>
      <c r="CA25" s="319"/>
      <c r="CB25" s="319"/>
      <c r="CC25" s="318"/>
      <c r="CD25" s="323"/>
      <c r="CE25" s="319"/>
      <c r="CF25" s="319"/>
      <c r="CG25" s="319"/>
      <c r="CH25" s="319"/>
      <c r="CI25" s="318"/>
      <c r="CJ25" s="323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8"/>
      <c r="CY25" s="323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</row>
    <row r="26" spans="1:115" x14ac:dyDescent="0.25">
      <c r="A26" s="313" t="s">
        <v>258</v>
      </c>
      <c r="B26" s="323"/>
      <c r="C26" s="319"/>
      <c r="D26" s="318"/>
      <c r="E26" s="318"/>
      <c r="F26" s="326"/>
      <c r="G26" s="326"/>
      <c r="H26" s="323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8"/>
      <c r="Y26" s="323"/>
      <c r="Z26" s="319"/>
      <c r="AA26" s="319"/>
      <c r="AB26" s="319"/>
      <c r="AC26" s="323"/>
      <c r="AD26" s="319"/>
      <c r="AE26" s="319"/>
      <c r="AF26" s="319"/>
      <c r="AG26" s="319"/>
      <c r="AH26" s="319"/>
      <c r="AI26" s="319"/>
      <c r="AJ26" s="319"/>
      <c r="AK26" s="319"/>
      <c r="AL26" s="319"/>
      <c r="AM26" s="318"/>
      <c r="AN26" s="323"/>
      <c r="AO26" s="319"/>
      <c r="AP26" s="319"/>
      <c r="AQ26" s="319"/>
      <c r="AR26" s="319"/>
      <c r="AS26" s="319"/>
      <c r="AT26" s="319"/>
      <c r="AU26" s="318"/>
      <c r="AV26" s="323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23"/>
      <c r="BJ26" s="319"/>
      <c r="BK26" s="319"/>
      <c r="BL26" s="319"/>
      <c r="BM26" s="319"/>
      <c r="BN26" s="319"/>
      <c r="BO26" s="319"/>
      <c r="BP26" s="319"/>
      <c r="BQ26" s="319"/>
      <c r="BR26" s="319"/>
      <c r="BS26" s="323"/>
      <c r="BT26" s="319"/>
      <c r="BU26" s="319"/>
      <c r="BV26" s="319"/>
      <c r="BW26" s="319"/>
      <c r="BX26" s="319"/>
      <c r="BY26" s="319"/>
      <c r="BZ26" s="319"/>
      <c r="CA26" s="319"/>
      <c r="CB26" s="319"/>
      <c r="CC26" s="318"/>
      <c r="CD26" s="323"/>
      <c r="CE26" s="319"/>
      <c r="CF26" s="319"/>
      <c r="CG26" s="319"/>
      <c r="CH26" s="319"/>
      <c r="CI26" s="318"/>
      <c r="CJ26" s="323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8"/>
      <c r="CY26" s="323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</row>
    <row r="27" spans="1:115" x14ac:dyDescent="0.25">
      <c r="A27" s="313" t="s">
        <v>259</v>
      </c>
      <c r="B27" s="323"/>
      <c r="C27" s="319"/>
      <c r="D27" s="318"/>
      <c r="E27" s="318"/>
      <c r="F27" s="326"/>
      <c r="G27" s="326"/>
      <c r="H27" s="323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8"/>
      <c r="Y27" s="323"/>
      <c r="Z27" s="319"/>
      <c r="AA27" s="319"/>
      <c r="AB27" s="319"/>
      <c r="AC27" s="323"/>
      <c r="AD27" s="319"/>
      <c r="AE27" s="319"/>
      <c r="AF27" s="319"/>
      <c r="AG27" s="319"/>
      <c r="AH27" s="319"/>
      <c r="AI27" s="319"/>
      <c r="AJ27" s="319"/>
      <c r="AK27" s="319"/>
      <c r="AL27" s="319"/>
      <c r="AM27" s="318"/>
      <c r="AN27" s="323"/>
      <c r="AO27" s="319"/>
      <c r="AP27" s="319"/>
      <c r="AQ27" s="319"/>
      <c r="AR27" s="319"/>
      <c r="AS27" s="319"/>
      <c r="AT27" s="319"/>
      <c r="AU27" s="318"/>
      <c r="AV27" s="323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23"/>
      <c r="BJ27" s="319"/>
      <c r="BK27" s="319"/>
      <c r="BL27" s="319"/>
      <c r="BM27" s="319"/>
      <c r="BN27" s="319"/>
      <c r="BO27" s="319"/>
      <c r="BP27" s="319"/>
      <c r="BQ27" s="319"/>
      <c r="BR27" s="319"/>
      <c r="BS27" s="323"/>
      <c r="BT27" s="319"/>
      <c r="BU27" s="319"/>
      <c r="BV27" s="319"/>
      <c r="BW27" s="319"/>
      <c r="BX27" s="319"/>
      <c r="BY27" s="319"/>
      <c r="BZ27" s="319"/>
      <c r="CA27" s="319"/>
      <c r="CB27" s="319"/>
      <c r="CC27" s="318"/>
      <c r="CD27" s="323"/>
      <c r="CE27" s="319"/>
      <c r="CF27" s="319"/>
      <c r="CG27" s="319"/>
      <c r="CH27" s="319"/>
      <c r="CI27" s="318"/>
      <c r="CJ27" s="323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8"/>
      <c r="CY27" s="323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</row>
    <row r="28" spans="1:115" x14ac:dyDescent="0.25">
      <c r="A28" s="313" t="s">
        <v>260</v>
      </c>
      <c r="B28" s="323"/>
      <c r="C28" s="319"/>
      <c r="D28" s="318"/>
      <c r="E28" s="318"/>
      <c r="F28" s="326"/>
      <c r="G28" s="326"/>
      <c r="H28" s="323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8"/>
      <c r="Y28" s="323"/>
      <c r="Z28" s="319"/>
      <c r="AA28" s="319"/>
      <c r="AB28" s="319"/>
      <c r="AC28" s="323"/>
      <c r="AD28" s="319"/>
      <c r="AE28" s="319"/>
      <c r="AF28" s="319"/>
      <c r="AG28" s="319"/>
      <c r="AH28" s="319"/>
      <c r="AI28" s="319"/>
      <c r="AJ28" s="319"/>
      <c r="AK28" s="319"/>
      <c r="AL28" s="319"/>
      <c r="AM28" s="318"/>
      <c r="AN28" s="323"/>
      <c r="AO28" s="319"/>
      <c r="AP28" s="319"/>
      <c r="AQ28" s="319"/>
      <c r="AR28" s="319"/>
      <c r="AS28" s="319"/>
      <c r="AT28" s="319"/>
      <c r="AU28" s="318"/>
      <c r="AV28" s="323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23"/>
      <c r="BJ28" s="319"/>
      <c r="BK28" s="319"/>
      <c r="BL28" s="319"/>
      <c r="BM28" s="319"/>
      <c r="BN28" s="319"/>
      <c r="BO28" s="319"/>
      <c r="BP28" s="319"/>
      <c r="BQ28" s="319"/>
      <c r="BR28" s="319"/>
      <c r="BS28" s="323"/>
      <c r="BT28" s="319"/>
      <c r="BU28" s="319"/>
      <c r="BV28" s="319"/>
      <c r="BW28" s="319"/>
      <c r="BX28" s="319"/>
      <c r="BY28" s="319"/>
      <c r="BZ28" s="319"/>
      <c r="CA28" s="319"/>
      <c r="CB28" s="319"/>
      <c r="CC28" s="318"/>
      <c r="CD28" s="323"/>
      <c r="CE28" s="319"/>
      <c r="CF28" s="319"/>
      <c r="CG28" s="319"/>
      <c r="CH28" s="319"/>
      <c r="CI28" s="318"/>
      <c r="CJ28" s="323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8"/>
      <c r="CY28" s="323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</row>
    <row r="29" spans="1:115" x14ac:dyDescent="0.25">
      <c r="A29" s="313" t="s">
        <v>261</v>
      </c>
      <c r="B29" s="323"/>
      <c r="C29" s="319"/>
      <c r="D29" s="318"/>
      <c r="E29" s="318"/>
      <c r="F29" s="326"/>
      <c r="G29" s="326"/>
      <c r="H29" s="323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8"/>
      <c r="Y29" s="323"/>
      <c r="Z29" s="319"/>
      <c r="AA29" s="319"/>
      <c r="AB29" s="319"/>
      <c r="AC29" s="323"/>
      <c r="AD29" s="319"/>
      <c r="AE29" s="319"/>
      <c r="AF29" s="319"/>
      <c r="AG29" s="319"/>
      <c r="AH29" s="319"/>
      <c r="AI29" s="319"/>
      <c r="AJ29" s="319"/>
      <c r="AK29" s="319"/>
      <c r="AL29" s="319"/>
      <c r="AM29" s="318"/>
      <c r="AN29" s="323"/>
      <c r="AO29" s="319"/>
      <c r="AP29" s="319"/>
      <c r="AQ29" s="319"/>
      <c r="AR29" s="319"/>
      <c r="AS29" s="319"/>
      <c r="AT29" s="319"/>
      <c r="AU29" s="318"/>
      <c r="AV29" s="323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23"/>
      <c r="BJ29" s="319"/>
      <c r="BK29" s="319"/>
      <c r="BL29" s="319"/>
      <c r="BM29" s="319"/>
      <c r="BN29" s="319"/>
      <c r="BO29" s="319"/>
      <c r="BP29" s="319"/>
      <c r="BQ29" s="319"/>
      <c r="BR29" s="319"/>
      <c r="BS29" s="323"/>
      <c r="BT29" s="319"/>
      <c r="BU29" s="319"/>
      <c r="BV29" s="319"/>
      <c r="BW29" s="319"/>
      <c r="BX29" s="319"/>
      <c r="BY29" s="319"/>
      <c r="BZ29" s="319"/>
      <c r="CA29" s="319"/>
      <c r="CB29" s="319"/>
      <c r="CC29" s="318"/>
      <c r="CD29" s="323"/>
      <c r="CE29" s="319"/>
      <c r="CF29" s="319"/>
      <c r="CG29" s="319"/>
      <c r="CH29" s="319"/>
      <c r="CI29" s="318"/>
      <c r="CJ29" s="323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8"/>
      <c r="CY29" s="323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</row>
    <row r="30" spans="1:115" x14ac:dyDescent="0.25">
      <c r="A30" s="313" t="s">
        <v>262</v>
      </c>
      <c r="B30" s="323"/>
      <c r="C30" s="319"/>
      <c r="D30" s="318"/>
      <c r="E30" s="318"/>
      <c r="F30" s="326"/>
      <c r="G30" s="326"/>
      <c r="H30" s="323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8"/>
      <c r="Y30" s="323"/>
      <c r="Z30" s="319"/>
      <c r="AA30" s="319"/>
      <c r="AB30" s="319"/>
      <c r="AC30" s="323"/>
      <c r="AD30" s="319"/>
      <c r="AE30" s="319"/>
      <c r="AF30" s="319"/>
      <c r="AG30" s="319"/>
      <c r="AH30" s="319"/>
      <c r="AI30" s="319"/>
      <c r="AJ30" s="319"/>
      <c r="AK30" s="319"/>
      <c r="AL30" s="319"/>
      <c r="AM30" s="318"/>
      <c r="AN30" s="323"/>
      <c r="AO30" s="319"/>
      <c r="AP30" s="319"/>
      <c r="AQ30" s="319"/>
      <c r="AR30" s="319"/>
      <c r="AS30" s="319"/>
      <c r="AT30" s="319"/>
      <c r="AU30" s="318"/>
      <c r="AV30" s="323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23"/>
      <c r="BJ30" s="319"/>
      <c r="BK30" s="319"/>
      <c r="BL30" s="319"/>
      <c r="BM30" s="319"/>
      <c r="BN30" s="319"/>
      <c r="BO30" s="319"/>
      <c r="BP30" s="319"/>
      <c r="BQ30" s="319"/>
      <c r="BR30" s="319"/>
      <c r="BS30" s="323"/>
      <c r="BT30" s="319"/>
      <c r="BU30" s="319"/>
      <c r="BV30" s="319"/>
      <c r="BW30" s="319"/>
      <c r="BX30" s="319"/>
      <c r="BY30" s="319"/>
      <c r="BZ30" s="319"/>
      <c r="CA30" s="319"/>
      <c r="CB30" s="319"/>
      <c r="CC30" s="318"/>
      <c r="CD30" s="323"/>
      <c r="CE30" s="319"/>
      <c r="CF30" s="319"/>
      <c r="CG30" s="319"/>
      <c r="CH30" s="319"/>
      <c r="CI30" s="318"/>
      <c r="CJ30" s="323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8"/>
      <c r="CY30" s="323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</row>
    <row r="31" spans="1:115" x14ac:dyDescent="0.25">
      <c r="A31" s="313" t="s">
        <v>263</v>
      </c>
      <c r="B31" s="323"/>
      <c r="C31" s="319"/>
      <c r="D31" s="318"/>
      <c r="E31" s="318"/>
      <c r="F31" s="326"/>
      <c r="G31" s="326"/>
      <c r="H31" s="323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8"/>
      <c r="Y31" s="323"/>
      <c r="Z31" s="319"/>
      <c r="AA31" s="319"/>
      <c r="AB31" s="319"/>
      <c r="AC31" s="323"/>
      <c r="AD31" s="319"/>
      <c r="AE31" s="319"/>
      <c r="AF31" s="319"/>
      <c r="AG31" s="319"/>
      <c r="AH31" s="319"/>
      <c r="AI31" s="319"/>
      <c r="AJ31" s="319"/>
      <c r="AK31" s="319"/>
      <c r="AL31" s="319"/>
      <c r="AM31" s="318"/>
      <c r="AN31" s="323"/>
      <c r="AO31" s="319"/>
      <c r="AP31" s="319"/>
      <c r="AQ31" s="319"/>
      <c r="AR31" s="319"/>
      <c r="AS31" s="319"/>
      <c r="AT31" s="319"/>
      <c r="AU31" s="318"/>
      <c r="AV31" s="323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23"/>
      <c r="BJ31" s="319"/>
      <c r="BK31" s="319"/>
      <c r="BL31" s="319"/>
      <c r="BM31" s="319"/>
      <c r="BN31" s="319"/>
      <c r="BO31" s="319"/>
      <c r="BP31" s="319"/>
      <c r="BQ31" s="319"/>
      <c r="BR31" s="319"/>
      <c r="BS31" s="323"/>
      <c r="BT31" s="319"/>
      <c r="BU31" s="319"/>
      <c r="BV31" s="319"/>
      <c r="BW31" s="319"/>
      <c r="BX31" s="319"/>
      <c r="BY31" s="319"/>
      <c r="BZ31" s="319"/>
      <c r="CA31" s="319"/>
      <c r="CB31" s="319"/>
      <c r="CC31" s="318"/>
      <c r="CD31" s="323"/>
      <c r="CE31" s="319"/>
      <c r="CF31" s="319"/>
      <c r="CG31" s="319"/>
      <c r="CH31" s="319"/>
      <c r="CI31" s="318"/>
      <c r="CJ31" s="323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8"/>
      <c r="CY31" s="323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</row>
    <row r="32" spans="1:115" x14ac:dyDescent="0.25">
      <c r="A32" s="313" t="s">
        <v>264</v>
      </c>
      <c r="B32" s="323"/>
      <c r="C32" s="319"/>
      <c r="D32" s="318"/>
      <c r="E32" s="318"/>
      <c r="F32" s="326"/>
      <c r="G32" s="326"/>
      <c r="H32" s="323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8"/>
      <c r="Y32" s="323"/>
      <c r="Z32" s="319"/>
      <c r="AA32" s="319"/>
      <c r="AB32" s="319"/>
      <c r="AC32" s="323"/>
      <c r="AD32" s="319"/>
      <c r="AE32" s="319"/>
      <c r="AF32" s="319"/>
      <c r="AG32" s="319"/>
      <c r="AH32" s="319"/>
      <c r="AI32" s="319"/>
      <c r="AJ32" s="319"/>
      <c r="AK32" s="319"/>
      <c r="AL32" s="319"/>
      <c r="AM32" s="318"/>
      <c r="AN32" s="323"/>
      <c r="AO32" s="319"/>
      <c r="AP32" s="319"/>
      <c r="AQ32" s="319"/>
      <c r="AR32" s="319"/>
      <c r="AS32" s="319"/>
      <c r="AT32" s="319"/>
      <c r="AU32" s="318"/>
      <c r="AV32" s="323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23"/>
      <c r="BJ32" s="319"/>
      <c r="BK32" s="319"/>
      <c r="BL32" s="319"/>
      <c r="BM32" s="319"/>
      <c r="BN32" s="319"/>
      <c r="BO32" s="319"/>
      <c r="BP32" s="319"/>
      <c r="BQ32" s="319"/>
      <c r="BR32" s="319"/>
      <c r="BS32" s="323"/>
      <c r="BT32" s="319"/>
      <c r="BU32" s="319"/>
      <c r="BV32" s="319"/>
      <c r="BW32" s="319"/>
      <c r="BX32" s="319"/>
      <c r="BY32" s="319"/>
      <c r="BZ32" s="319"/>
      <c r="CA32" s="319"/>
      <c r="CB32" s="319"/>
      <c r="CC32" s="318"/>
      <c r="CD32" s="323"/>
      <c r="CE32" s="319"/>
      <c r="CF32" s="319"/>
      <c r="CG32" s="319"/>
      <c r="CH32" s="319"/>
      <c r="CI32" s="318"/>
      <c r="CJ32" s="323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8"/>
      <c r="CY32" s="323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</row>
    <row r="33" spans="1:115" x14ac:dyDescent="0.25">
      <c r="A33" s="313" t="s">
        <v>265</v>
      </c>
      <c r="B33" s="323"/>
      <c r="C33" s="319"/>
      <c r="D33" s="318"/>
      <c r="E33" s="318"/>
      <c r="F33" s="326"/>
      <c r="G33" s="326"/>
      <c r="H33" s="323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8"/>
      <c r="Y33" s="323"/>
      <c r="Z33" s="319"/>
      <c r="AA33" s="319"/>
      <c r="AB33" s="319"/>
      <c r="AC33" s="323"/>
      <c r="AD33" s="319"/>
      <c r="AE33" s="319"/>
      <c r="AF33" s="319"/>
      <c r="AG33" s="319"/>
      <c r="AH33" s="319"/>
      <c r="AI33" s="319"/>
      <c r="AJ33" s="319"/>
      <c r="AK33" s="319"/>
      <c r="AL33" s="319"/>
      <c r="AM33" s="318"/>
      <c r="AN33" s="323"/>
      <c r="AO33" s="319"/>
      <c r="AP33" s="319"/>
      <c r="AQ33" s="319"/>
      <c r="AR33" s="319"/>
      <c r="AS33" s="319"/>
      <c r="AT33" s="319"/>
      <c r="AU33" s="318"/>
      <c r="AV33" s="323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23"/>
      <c r="BJ33" s="319"/>
      <c r="BK33" s="319"/>
      <c r="BL33" s="319"/>
      <c r="BM33" s="319"/>
      <c r="BN33" s="319"/>
      <c r="BO33" s="319"/>
      <c r="BP33" s="319"/>
      <c r="BQ33" s="319"/>
      <c r="BR33" s="319"/>
      <c r="BS33" s="323"/>
      <c r="BT33" s="319"/>
      <c r="BU33" s="319"/>
      <c r="BV33" s="319"/>
      <c r="BW33" s="319"/>
      <c r="BX33" s="319"/>
      <c r="BY33" s="319"/>
      <c r="BZ33" s="319"/>
      <c r="CA33" s="319"/>
      <c r="CB33" s="319"/>
      <c r="CC33" s="318"/>
      <c r="CD33" s="323"/>
      <c r="CE33" s="319"/>
      <c r="CF33" s="319"/>
      <c r="CG33" s="319"/>
      <c r="CH33" s="319"/>
      <c r="CI33" s="318"/>
      <c r="CJ33" s="323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8"/>
      <c r="CY33" s="323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</row>
    <row r="34" spans="1:115" ht="15.75" thickBot="1" x14ac:dyDescent="0.3">
      <c r="A34" s="314" t="s">
        <v>266</v>
      </c>
      <c r="B34" s="324"/>
      <c r="C34" s="315"/>
      <c r="D34" s="260"/>
      <c r="E34" s="260"/>
      <c r="F34" s="327"/>
      <c r="G34" s="327"/>
      <c r="H34" s="324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260"/>
      <c r="Y34" s="324"/>
      <c r="Z34" s="315"/>
      <c r="AA34" s="315"/>
      <c r="AB34" s="315"/>
      <c r="AC34" s="324"/>
      <c r="AD34" s="315"/>
      <c r="AE34" s="315"/>
      <c r="AF34" s="315"/>
      <c r="AG34" s="315"/>
      <c r="AH34" s="315"/>
      <c r="AI34" s="315"/>
      <c r="AJ34" s="315"/>
      <c r="AK34" s="315"/>
      <c r="AL34" s="315"/>
      <c r="AM34" s="260"/>
      <c r="AN34" s="324"/>
      <c r="AO34" s="315"/>
      <c r="AP34" s="315"/>
      <c r="AQ34" s="315"/>
      <c r="AR34" s="315"/>
      <c r="AS34" s="315"/>
      <c r="AT34" s="315"/>
      <c r="AU34" s="260"/>
      <c r="AV34" s="324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24"/>
      <c r="BJ34" s="315"/>
      <c r="BK34" s="315"/>
      <c r="BL34" s="315"/>
      <c r="BM34" s="315"/>
      <c r="BN34" s="315"/>
      <c r="BO34" s="315"/>
      <c r="BP34" s="315"/>
      <c r="BQ34" s="315"/>
      <c r="BR34" s="315"/>
      <c r="BS34" s="324"/>
      <c r="BT34" s="315"/>
      <c r="BU34" s="315"/>
      <c r="BV34" s="315"/>
      <c r="BW34" s="315"/>
      <c r="BX34" s="315"/>
      <c r="BY34" s="315"/>
      <c r="BZ34" s="315"/>
      <c r="CA34" s="315"/>
      <c r="CB34" s="315"/>
      <c r="CC34" s="260"/>
      <c r="CD34" s="324"/>
      <c r="CE34" s="315"/>
      <c r="CF34" s="315"/>
      <c r="CG34" s="315"/>
      <c r="CH34" s="315"/>
      <c r="CI34" s="260"/>
      <c r="CJ34" s="324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260"/>
      <c r="CY34" s="324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</row>
    <row r="37" spans="1:115" ht="15.75" thickBot="1" x14ac:dyDescent="0.3"/>
    <row r="38" spans="1:115" ht="198.75" thickBot="1" x14ac:dyDescent="0.3">
      <c r="A38" s="310" t="s">
        <v>267</v>
      </c>
      <c r="B38" s="634" t="s">
        <v>370</v>
      </c>
      <c r="C38" s="635" t="s">
        <v>372</v>
      </c>
      <c r="D38" s="635" t="s">
        <v>373</v>
      </c>
      <c r="E38" s="635" t="s">
        <v>374</v>
      </c>
      <c r="F38" s="636" t="s">
        <v>375</v>
      </c>
      <c r="G38" s="636" t="s">
        <v>376</v>
      </c>
      <c r="H38" s="634" t="s">
        <v>371</v>
      </c>
      <c r="I38" s="637" t="s">
        <v>377</v>
      </c>
      <c r="J38" s="637" t="s">
        <v>378</v>
      </c>
      <c r="K38" s="637" t="s">
        <v>379</v>
      </c>
      <c r="L38" s="637" t="s">
        <v>380</v>
      </c>
      <c r="M38" s="637" t="s">
        <v>381</v>
      </c>
      <c r="N38" s="637" t="s">
        <v>382</v>
      </c>
      <c r="O38" s="637" t="s">
        <v>383</v>
      </c>
      <c r="P38" s="637" t="s">
        <v>384</v>
      </c>
      <c r="Q38" s="637" t="s">
        <v>385</v>
      </c>
      <c r="R38" s="637" t="s">
        <v>386</v>
      </c>
      <c r="S38" s="637" t="s">
        <v>387</v>
      </c>
      <c r="T38" s="637" t="s">
        <v>388</v>
      </c>
      <c r="U38" s="637" t="s">
        <v>389</v>
      </c>
      <c r="V38" s="637" t="s">
        <v>390</v>
      </c>
      <c r="W38" s="637" t="s">
        <v>391</v>
      </c>
      <c r="X38" s="638" t="s">
        <v>381</v>
      </c>
      <c r="Y38" s="634" t="s">
        <v>392</v>
      </c>
      <c r="Z38" s="637" t="s">
        <v>393</v>
      </c>
      <c r="AA38" s="637" t="s">
        <v>394</v>
      </c>
      <c r="AB38" s="637" t="s">
        <v>395</v>
      </c>
      <c r="AC38" s="634" t="s">
        <v>396</v>
      </c>
      <c r="AD38" s="637" t="s">
        <v>397</v>
      </c>
      <c r="AE38" s="637" t="s">
        <v>398</v>
      </c>
      <c r="AF38" s="637" t="s">
        <v>399</v>
      </c>
      <c r="AG38" s="637" t="s">
        <v>400</v>
      </c>
      <c r="AH38" s="637" t="s">
        <v>401</v>
      </c>
      <c r="AI38" s="637" t="s">
        <v>402</v>
      </c>
      <c r="AJ38" s="637" t="s">
        <v>403</v>
      </c>
      <c r="AK38" s="637" t="s">
        <v>372</v>
      </c>
      <c r="AL38" s="637" t="s">
        <v>404</v>
      </c>
      <c r="AM38" s="638" t="s">
        <v>375</v>
      </c>
      <c r="AN38" s="634" t="s">
        <v>405</v>
      </c>
      <c r="AO38" s="637" t="s">
        <v>406</v>
      </c>
      <c r="AP38" s="637" t="s">
        <v>407</v>
      </c>
      <c r="AQ38" s="637" t="s">
        <v>408</v>
      </c>
      <c r="AR38" s="637" t="s">
        <v>409</v>
      </c>
      <c r="AS38" s="637" t="s">
        <v>410</v>
      </c>
      <c r="AT38" s="637" t="s">
        <v>411</v>
      </c>
      <c r="AU38" s="638" t="s">
        <v>412</v>
      </c>
      <c r="AV38" s="634" t="s">
        <v>413</v>
      </c>
      <c r="AW38" s="637" t="s">
        <v>414</v>
      </c>
      <c r="AX38" s="637" t="s">
        <v>415</v>
      </c>
      <c r="AY38" s="637" t="s">
        <v>416</v>
      </c>
      <c r="AZ38" s="637" t="s">
        <v>417</v>
      </c>
      <c r="BA38" s="637" t="s">
        <v>418</v>
      </c>
      <c r="BB38" s="637" t="s">
        <v>419</v>
      </c>
      <c r="BC38" s="637" t="s">
        <v>420</v>
      </c>
      <c r="BD38" s="637" t="s">
        <v>421</v>
      </c>
      <c r="BE38" s="637" t="s">
        <v>422</v>
      </c>
      <c r="BF38" s="637" t="s">
        <v>423</v>
      </c>
      <c r="BG38" s="637" t="s">
        <v>424</v>
      </c>
      <c r="BH38" s="637" t="s">
        <v>425</v>
      </c>
      <c r="BI38" s="634" t="s">
        <v>426</v>
      </c>
      <c r="BJ38" s="637" t="s">
        <v>427</v>
      </c>
      <c r="BK38" s="637" t="s">
        <v>428</v>
      </c>
      <c r="BL38" s="637" t="s">
        <v>429</v>
      </c>
      <c r="BM38" s="637" t="s">
        <v>430</v>
      </c>
      <c r="BN38" s="637" t="s">
        <v>431</v>
      </c>
      <c r="BO38" s="637" t="s">
        <v>432</v>
      </c>
      <c r="BP38" s="637" t="s">
        <v>433</v>
      </c>
      <c r="BQ38" s="637" t="s">
        <v>434</v>
      </c>
      <c r="BR38" s="637" t="s">
        <v>435</v>
      </c>
      <c r="BS38" s="634" t="s">
        <v>436</v>
      </c>
      <c r="BT38" s="637" t="s">
        <v>437</v>
      </c>
      <c r="BU38" s="637" t="s">
        <v>438</v>
      </c>
      <c r="BV38" s="637" t="s">
        <v>439</v>
      </c>
      <c r="BW38" s="637" t="s">
        <v>440</v>
      </c>
      <c r="BX38" s="637" t="s">
        <v>441</v>
      </c>
      <c r="BY38" s="637" t="s">
        <v>442</v>
      </c>
      <c r="BZ38" s="637" t="s">
        <v>442</v>
      </c>
      <c r="CA38" s="637" t="s">
        <v>443</v>
      </c>
      <c r="CB38" s="637" t="s">
        <v>444</v>
      </c>
      <c r="CC38" s="638" t="s">
        <v>445</v>
      </c>
      <c r="CD38" s="634" t="s">
        <v>446</v>
      </c>
      <c r="CE38" s="637" t="s">
        <v>447</v>
      </c>
      <c r="CF38" s="637" t="s">
        <v>448</v>
      </c>
      <c r="CG38" s="637" t="s">
        <v>449</v>
      </c>
      <c r="CH38" s="637" t="s">
        <v>450</v>
      </c>
      <c r="CI38" s="638" t="s">
        <v>451</v>
      </c>
      <c r="CJ38" s="634" t="s">
        <v>452</v>
      </c>
      <c r="CK38" s="637" t="s">
        <v>453</v>
      </c>
      <c r="CL38" s="637" t="s">
        <v>454</v>
      </c>
      <c r="CM38" s="637" t="s">
        <v>455</v>
      </c>
      <c r="CN38" s="637" t="s">
        <v>456</v>
      </c>
      <c r="CO38" s="637" t="s">
        <v>457</v>
      </c>
      <c r="CP38" s="637" t="s">
        <v>458</v>
      </c>
      <c r="CQ38" s="637" t="s">
        <v>459</v>
      </c>
      <c r="CR38" s="637" t="s">
        <v>425</v>
      </c>
      <c r="CS38" s="637" t="s">
        <v>460</v>
      </c>
      <c r="CT38" s="637" t="s">
        <v>461</v>
      </c>
      <c r="CU38" s="637" t="s">
        <v>462</v>
      </c>
      <c r="CV38" s="637" t="s">
        <v>463</v>
      </c>
      <c r="CW38" s="637" t="s">
        <v>464</v>
      </c>
      <c r="CX38" s="638" t="s">
        <v>465</v>
      </c>
      <c r="CY38" s="634" t="s">
        <v>466</v>
      </c>
      <c r="CZ38" s="637" t="s">
        <v>467</v>
      </c>
      <c r="DA38" s="637" t="s">
        <v>468</v>
      </c>
      <c r="DB38" s="637" t="s">
        <v>447</v>
      </c>
      <c r="DC38" s="637" t="s">
        <v>450</v>
      </c>
      <c r="DD38" s="637" t="s">
        <v>469</v>
      </c>
      <c r="DE38" s="637" t="s">
        <v>470</v>
      </c>
      <c r="DF38" s="637" t="s">
        <v>456</v>
      </c>
      <c r="DG38" s="637" t="s">
        <v>456</v>
      </c>
      <c r="DH38" s="637" t="s">
        <v>471</v>
      </c>
      <c r="DI38" s="637" t="s">
        <v>472</v>
      </c>
      <c r="DJ38" s="637" t="s">
        <v>473</v>
      </c>
      <c r="DK38" s="637" t="s">
        <v>474</v>
      </c>
    </row>
    <row r="39" spans="1:115" x14ac:dyDescent="0.25">
      <c r="A39" s="311" t="s">
        <v>175</v>
      </c>
      <c r="B39" s="321"/>
      <c r="C39" s="320"/>
      <c r="D39" s="317"/>
      <c r="E39" s="317"/>
      <c r="F39" s="325"/>
      <c r="G39" s="325"/>
      <c r="H39" s="328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17"/>
      <c r="Y39" s="328"/>
      <c r="Z39" s="320"/>
      <c r="AA39" s="320"/>
      <c r="AB39" s="320"/>
      <c r="AC39" s="328"/>
      <c r="AD39" s="320"/>
      <c r="AE39" s="320"/>
      <c r="AF39" s="320"/>
      <c r="AG39" s="320"/>
      <c r="AH39" s="320"/>
      <c r="AI39" s="320"/>
      <c r="AJ39" s="320"/>
      <c r="AK39" s="320"/>
      <c r="AL39" s="320"/>
      <c r="AM39" s="317"/>
      <c r="AN39" s="328"/>
      <c r="AO39" s="320"/>
      <c r="AP39" s="320"/>
      <c r="AQ39" s="320"/>
      <c r="AR39" s="320"/>
      <c r="AS39" s="320"/>
      <c r="AT39" s="320"/>
      <c r="AU39" s="317"/>
      <c r="AV39" s="328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8"/>
      <c r="BJ39" s="320"/>
      <c r="BK39" s="320"/>
      <c r="BL39" s="320"/>
      <c r="BM39" s="320"/>
      <c r="BN39" s="320"/>
      <c r="BO39" s="320"/>
      <c r="BP39" s="320"/>
      <c r="BQ39" s="320"/>
      <c r="BR39" s="320"/>
      <c r="BS39" s="328"/>
      <c r="BT39" s="320"/>
      <c r="BU39" s="320"/>
      <c r="BV39" s="320"/>
      <c r="BW39" s="320"/>
      <c r="BX39" s="320"/>
      <c r="BY39" s="320"/>
      <c r="BZ39" s="320"/>
      <c r="CA39" s="320"/>
      <c r="CB39" s="320"/>
      <c r="CC39" s="317"/>
      <c r="CD39" s="328"/>
      <c r="CE39" s="320"/>
      <c r="CF39" s="320"/>
      <c r="CG39" s="320"/>
      <c r="CH39" s="320"/>
      <c r="CI39" s="317"/>
      <c r="CJ39" s="328"/>
      <c r="CK39" s="320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17"/>
      <c r="CY39" s="328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320"/>
      <c r="DK39" s="320"/>
    </row>
    <row r="40" spans="1:115" x14ac:dyDescent="0.25">
      <c r="A40" s="312" t="s">
        <v>236</v>
      </c>
      <c r="B40" s="322"/>
      <c r="C40" s="319"/>
      <c r="D40" s="318"/>
      <c r="E40" s="318"/>
      <c r="F40" s="326"/>
      <c r="G40" s="326"/>
      <c r="H40" s="323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8"/>
      <c r="Y40" s="323"/>
      <c r="Z40" s="319"/>
      <c r="AA40" s="319"/>
      <c r="AB40" s="319"/>
      <c r="AC40" s="323"/>
      <c r="AD40" s="319"/>
      <c r="AE40" s="319"/>
      <c r="AF40" s="319"/>
      <c r="AG40" s="319"/>
      <c r="AH40" s="319"/>
      <c r="AI40" s="319"/>
      <c r="AJ40" s="319"/>
      <c r="AK40" s="319"/>
      <c r="AL40" s="319"/>
      <c r="AM40" s="318"/>
      <c r="AN40" s="323"/>
      <c r="AO40" s="319"/>
      <c r="AP40" s="319"/>
      <c r="AQ40" s="319"/>
      <c r="AR40" s="319"/>
      <c r="AS40" s="319"/>
      <c r="AT40" s="319"/>
      <c r="AU40" s="318"/>
      <c r="AV40" s="323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23"/>
      <c r="BJ40" s="319"/>
      <c r="BK40" s="319"/>
      <c r="BL40" s="319"/>
      <c r="BM40" s="319"/>
      <c r="BN40" s="319"/>
      <c r="BO40" s="319"/>
      <c r="BP40" s="319"/>
      <c r="BQ40" s="319"/>
      <c r="BR40" s="319"/>
      <c r="BS40" s="323"/>
      <c r="BT40" s="319"/>
      <c r="BU40" s="319"/>
      <c r="BV40" s="319"/>
      <c r="BW40" s="319"/>
      <c r="BX40" s="319"/>
      <c r="BY40" s="319"/>
      <c r="BZ40" s="319"/>
      <c r="CA40" s="319"/>
      <c r="CB40" s="319"/>
      <c r="CC40" s="318"/>
      <c r="CD40" s="323"/>
      <c r="CE40" s="319"/>
      <c r="CF40" s="319"/>
      <c r="CG40" s="319"/>
      <c r="CH40" s="319"/>
      <c r="CI40" s="318"/>
      <c r="CJ40" s="323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8"/>
      <c r="CY40" s="323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</row>
    <row r="41" spans="1:115" x14ac:dyDescent="0.25">
      <c r="A41" s="313" t="s">
        <v>237</v>
      </c>
      <c r="B41" s="323"/>
      <c r="C41" s="319"/>
      <c r="D41" s="318"/>
      <c r="E41" s="318"/>
      <c r="F41" s="326"/>
      <c r="G41" s="326"/>
      <c r="H41" s="323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8"/>
      <c r="Y41" s="323"/>
      <c r="Z41" s="319"/>
      <c r="AA41" s="319"/>
      <c r="AB41" s="319"/>
      <c r="AC41" s="323"/>
      <c r="AD41" s="319"/>
      <c r="AE41" s="319"/>
      <c r="AF41" s="319"/>
      <c r="AG41" s="319"/>
      <c r="AH41" s="319"/>
      <c r="AI41" s="319"/>
      <c r="AJ41" s="319"/>
      <c r="AK41" s="319"/>
      <c r="AL41" s="319"/>
      <c r="AM41" s="318"/>
      <c r="AN41" s="323"/>
      <c r="AO41" s="319"/>
      <c r="AP41" s="319"/>
      <c r="AQ41" s="319"/>
      <c r="AR41" s="319"/>
      <c r="AS41" s="319"/>
      <c r="AT41" s="319"/>
      <c r="AU41" s="318"/>
      <c r="AV41" s="323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23"/>
      <c r="BJ41" s="319"/>
      <c r="BK41" s="319"/>
      <c r="BL41" s="319"/>
      <c r="BM41" s="319"/>
      <c r="BN41" s="319"/>
      <c r="BO41" s="319"/>
      <c r="BP41" s="319"/>
      <c r="BQ41" s="319"/>
      <c r="BR41" s="319"/>
      <c r="BS41" s="323"/>
      <c r="BT41" s="319"/>
      <c r="BU41" s="319"/>
      <c r="BV41" s="319"/>
      <c r="BW41" s="319"/>
      <c r="BX41" s="319"/>
      <c r="BY41" s="319"/>
      <c r="BZ41" s="319"/>
      <c r="CA41" s="319"/>
      <c r="CB41" s="319"/>
      <c r="CC41" s="318"/>
      <c r="CD41" s="323"/>
      <c r="CE41" s="319"/>
      <c r="CF41" s="319"/>
      <c r="CG41" s="319"/>
      <c r="CH41" s="319"/>
      <c r="CI41" s="318"/>
      <c r="CJ41" s="323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8"/>
      <c r="CY41" s="323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</row>
    <row r="42" spans="1:115" x14ac:dyDescent="0.25">
      <c r="A42" s="313" t="s">
        <v>238</v>
      </c>
      <c r="B42" s="323"/>
      <c r="C42" s="319"/>
      <c r="D42" s="318"/>
      <c r="E42" s="318"/>
      <c r="F42" s="326"/>
      <c r="G42" s="326"/>
      <c r="H42" s="323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8"/>
      <c r="Y42" s="323"/>
      <c r="Z42" s="319"/>
      <c r="AA42" s="319"/>
      <c r="AB42" s="319"/>
      <c r="AC42" s="323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/>
      <c r="AN42" s="323"/>
      <c r="AO42" s="319"/>
      <c r="AP42" s="319"/>
      <c r="AQ42" s="319"/>
      <c r="AR42" s="319"/>
      <c r="AS42" s="319"/>
      <c r="AT42" s="319"/>
      <c r="AU42" s="318"/>
      <c r="AV42" s="323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23"/>
      <c r="BJ42" s="319"/>
      <c r="BK42" s="319"/>
      <c r="BL42" s="319"/>
      <c r="BM42" s="319"/>
      <c r="BN42" s="319"/>
      <c r="BO42" s="319"/>
      <c r="BP42" s="319"/>
      <c r="BQ42" s="319"/>
      <c r="BR42" s="319"/>
      <c r="BS42" s="323"/>
      <c r="BT42" s="319"/>
      <c r="BU42" s="319"/>
      <c r="BV42" s="319"/>
      <c r="BW42" s="319"/>
      <c r="BX42" s="319"/>
      <c r="BY42" s="319"/>
      <c r="BZ42" s="319"/>
      <c r="CA42" s="319"/>
      <c r="CB42" s="319"/>
      <c r="CC42" s="318"/>
      <c r="CD42" s="323"/>
      <c r="CE42" s="319"/>
      <c r="CF42" s="319"/>
      <c r="CG42" s="319"/>
      <c r="CH42" s="319"/>
      <c r="CI42" s="318"/>
      <c r="CJ42" s="323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8"/>
      <c r="CY42" s="323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</row>
    <row r="43" spans="1:115" x14ac:dyDescent="0.25">
      <c r="A43" s="313" t="s">
        <v>239</v>
      </c>
      <c r="B43" s="323"/>
      <c r="C43" s="319"/>
      <c r="D43" s="318"/>
      <c r="E43" s="318"/>
      <c r="F43" s="326"/>
      <c r="G43" s="326"/>
      <c r="H43" s="323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8"/>
      <c r="Y43" s="323"/>
      <c r="Z43" s="319"/>
      <c r="AA43" s="319"/>
      <c r="AB43" s="319"/>
      <c r="AC43" s="323"/>
      <c r="AD43" s="319"/>
      <c r="AE43" s="319"/>
      <c r="AF43" s="319"/>
      <c r="AG43" s="319"/>
      <c r="AH43" s="319"/>
      <c r="AI43" s="319"/>
      <c r="AJ43" s="319"/>
      <c r="AK43" s="319"/>
      <c r="AL43" s="319"/>
      <c r="AM43" s="318"/>
      <c r="AN43" s="323"/>
      <c r="AO43" s="319"/>
      <c r="AP43" s="319"/>
      <c r="AQ43" s="319"/>
      <c r="AR43" s="319"/>
      <c r="AS43" s="319"/>
      <c r="AT43" s="319"/>
      <c r="AU43" s="318"/>
      <c r="AV43" s="323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23"/>
      <c r="BJ43" s="319"/>
      <c r="BK43" s="319"/>
      <c r="BL43" s="319"/>
      <c r="BM43" s="319"/>
      <c r="BN43" s="319"/>
      <c r="BO43" s="319"/>
      <c r="BP43" s="319"/>
      <c r="BQ43" s="319"/>
      <c r="BR43" s="319"/>
      <c r="BS43" s="323"/>
      <c r="BT43" s="319"/>
      <c r="BU43" s="319"/>
      <c r="BV43" s="319"/>
      <c r="BW43" s="319"/>
      <c r="BX43" s="319"/>
      <c r="BY43" s="319"/>
      <c r="BZ43" s="319"/>
      <c r="CA43" s="319"/>
      <c r="CB43" s="319"/>
      <c r="CC43" s="318"/>
      <c r="CD43" s="323"/>
      <c r="CE43" s="319"/>
      <c r="CF43" s="319"/>
      <c r="CG43" s="319"/>
      <c r="CH43" s="319"/>
      <c r="CI43" s="318"/>
      <c r="CJ43" s="323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8"/>
      <c r="CY43" s="323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</row>
    <row r="44" spans="1:115" x14ac:dyDescent="0.25">
      <c r="A44" s="313" t="s">
        <v>240</v>
      </c>
      <c r="B44" s="323"/>
      <c r="C44" s="319"/>
      <c r="D44" s="318"/>
      <c r="E44" s="318"/>
      <c r="F44" s="326"/>
      <c r="G44" s="326"/>
      <c r="H44" s="323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8"/>
      <c r="Y44" s="323"/>
      <c r="Z44" s="319"/>
      <c r="AA44" s="319"/>
      <c r="AB44" s="319"/>
      <c r="AC44" s="323"/>
      <c r="AD44" s="319"/>
      <c r="AE44" s="319"/>
      <c r="AF44" s="319"/>
      <c r="AG44" s="319"/>
      <c r="AH44" s="319"/>
      <c r="AI44" s="319"/>
      <c r="AJ44" s="319"/>
      <c r="AK44" s="319"/>
      <c r="AL44" s="319"/>
      <c r="AM44" s="318"/>
      <c r="AN44" s="323"/>
      <c r="AO44" s="319"/>
      <c r="AP44" s="319"/>
      <c r="AQ44" s="319"/>
      <c r="AR44" s="319"/>
      <c r="AS44" s="319"/>
      <c r="AT44" s="319"/>
      <c r="AU44" s="318"/>
      <c r="AV44" s="323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23"/>
      <c r="BJ44" s="319"/>
      <c r="BK44" s="319"/>
      <c r="BL44" s="319"/>
      <c r="BM44" s="319"/>
      <c r="BN44" s="319"/>
      <c r="BO44" s="319"/>
      <c r="BP44" s="319"/>
      <c r="BQ44" s="319"/>
      <c r="BR44" s="319"/>
      <c r="BS44" s="323"/>
      <c r="BT44" s="319"/>
      <c r="BU44" s="319"/>
      <c r="BV44" s="319"/>
      <c r="BW44" s="319"/>
      <c r="BX44" s="319"/>
      <c r="BY44" s="319"/>
      <c r="BZ44" s="319"/>
      <c r="CA44" s="319"/>
      <c r="CB44" s="319"/>
      <c r="CC44" s="318"/>
      <c r="CD44" s="323"/>
      <c r="CE44" s="319"/>
      <c r="CF44" s="319"/>
      <c r="CG44" s="319"/>
      <c r="CH44" s="319"/>
      <c r="CI44" s="318"/>
      <c r="CJ44" s="323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8"/>
      <c r="CY44" s="323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</row>
    <row r="45" spans="1:115" x14ac:dyDescent="0.25">
      <c r="A45" s="313" t="s">
        <v>241</v>
      </c>
      <c r="B45" s="323"/>
      <c r="C45" s="319"/>
      <c r="D45" s="318"/>
      <c r="E45" s="318"/>
      <c r="F45" s="326"/>
      <c r="G45" s="326"/>
      <c r="H45" s="323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8"/>
      <c r="Y45" s="323"/>
      <c r="Z45" s="319"/>
      <c r="AA45" s="319"/>
      <c r="AB45" s="319"/>
      <c r="AC45" s="323"/>
      <c r="AD45" s="319"/>
      <c r="AE45" s="319"/>
      <c r="AF45" s="319"/>
      <c r="AG45" s="319"/>
      <c r="AH45" s="319"/>
      <c r="AI45" s="319"/>
      <c r="AJ45" s="319"/>
      <c r="AK45" s="319"/>
      <c r="AL45" s="319"/>
      <c r="AM45" s="318"/>
      <c r="AN45" s="323"/>
      <c r="AO45" s="319"/>
      <c r="AP45" s="319"/>
      <c r="AQ45" s="319"/>
      <c r="AR45" s="319"/>
      <c r="AS45" s="319"/>
      <c r="AT45" s="319"/>
      <c r="AU45" s="318"/>
      <c r="AV45" s="323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23"/>
      <c r="BJ45" s="319"/>
      <c r="BK45" s="319"/>
      <c r="BL45" s="319"/>
      <c r="BM45" s="319"/>
      <c r="BN45" s="319"/>
      <c r="BO45" s="319"/>
      <c r="BP45" s="319"/>
      <c r="BQ45" s="319"/>
      <c r="BR45" s="319"/>
      <c r="BS45" s="323"/>
      <c r="BT45" s="319"/>
      <c r="BU45" s="319"/>
      <c r="BV45" s="319"/>
      <c r="BW45" s="319"/>
      <c r="BX45" s="319"/>
      <c r="BY45" s="319"/>
      <c r="BZ45" s="319"/>
      <c r="CA45" s="319"/>
      <c r="CB45" s="319"/>
      <c r="CC45" s="318"/>
      <c r="CD45" s="323"/>
      <c r="CE45" s="319"/>
      <c r="CF45" s="319"/>
      <c r="CG45" s="319"/>
      <c r="CH45" s="319"/>
      <c r="CI45" s="318"/>
      <c r="CJ45" s="323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8"/>
      <c r="CY45" s="323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</row>
    <row r="46" spans="1:115" x14ac:dyDescent="0.25">
      <c r="A46" s="313" t="s">
        <v>242</v>
      </c>
      <c r="B46" s="323"/>
      <c r="C46" s="319"/>
      <c r="D46" s="318"/>
      <c r="E46" s="318"/>
      <c r="F46" s="326"/>
      <c r="G46" s="326"/>
      <c r="H46" s="323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8"/>
      <c r="Y46" s="323"/>
      <c r="Z46" s="319"/>
      <c r="AA46" s="319"/>
      <c r="AB46" s="319"/>
      <c r="AC46" s="323"/>
      <c r="AD46" s="319"/>
      <c r="AE46" s="319"/>
      <c r="AF46" s="319"/>
      <c r="AG46" s="319"/>
      <c r="AH46" s="319"/>
      <c r="AI46" s="319"/>
      <c r="AJ46" s="319"/>
      <c r="AK46" s="319"/>
      <c r="AL46" s="319"/>
      <c r="AM46" s="318"/>
      <c r="AN46" s="323"/>
      <c r="AO46" s="319"/>
      <c r="AP46" s="319"/>
      <c r="AQ46" s="319"/>
      <c r="AR46" s="319"/>
      <c r="AS46" s="319"/>
      <c r="AT46" s="319"/>
      <c r="AU46" s="318"/>
      <c r="AV46" s="323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23"/>
      <c r="BJ46" s="319"/>
      <c r="BK46" s="319"/>
      <c r="BL46" s="319"/>
      <c r="BM46" s="319"/>
      <c r="BN46" s="319"/>
      <c r="BO46" s="319"/>
      <c r="BP46" s="319"/>
      <c r="BQ46" s="319"/>
      <c r="BR46" s="319"/>
      <c r="BS46" s="323"/>
      <c r="BT46" s="319"/>
      <c r="BU46" s="319"/>
      <c r="BV46" s="319"/>
      <c r="BW46" s="319"/>
      <c r="BX46" s="319"/>
      <c r="BY46" s="319"/>
      <c r="BZ46" s="319"/>
      <c r="CA46" s="319"/>
      <c r="CB46" s="319"/>
      <c r="CC46" s="318"/>
      <c r="CD46" s="323"/>
      <c r="CE46" s="319"/>
      <c r="CF46" s="319"/>
      <c r="CG46" s="319"/>
      <c r="CH46" s="319"/>
      <c r="CI46" s="318"/>
      <c r="CJ46" s="323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8"/>
      <c r="CY46" s="323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</row>
    <row r="47" spans="1:115" x14ac:dyDescent="0.25">
      <c r="A47" s="313" t="s">
        <v>243</v>
      </c>
      <c r="B47" s="323"/>
      <c r="C47" s="319"/>
      <c r="D47" s="318"/>
      <c r="E47" s="318"/>
      <c r="F47" s="326"/>
      <c r="G47" s="326"/>
      <c r="H47" s="323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8"/>
      <c r="Y47" s="323"/>
      <c r="Z47" s="319"/>
      <c r="AA47" s="319"/>
      <c r="AB47" s="319"/>
      <c r="AC47" s="323"/>
      <c r="AD47" s="319"/>
      <c r="AE47" s="319"/>
      <c r="AF47" s="319"/>
      <c r="AG47" s="319"/>
      <c r="AH47" s="319"/>
      <c r="AI47" s="319"/>
      <c r="AJ47" s="319"/>
      <c r="AK47" s="319"/>
      <c r="AL47" s="319"/>
      <c r="AM47" s="318"/>
      <c r="AN47" s="323"/>
      <c r="AO47" s="319"/>
      <c r="AP47" s="319"/>
      <c r="AQ47" s="319"/>
      <c r="AR47" s="319"/>
      <c r="AS47" s="319"/>
      <c r="AT47" s="319"/>
      <c r="AU47" s="318"/>
      <c r="AV47" s="323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23"/>
      <c r="BJ47" s="319"/>
      <c r="BK47" s="319"/>
      <c r="BL47" s="319"/>
      <c r="BM47" s="319"/>
      <c r="BN47" s="319"/>
      <c r="BO47" s="319"/>
      <c r="BP47" s="319"/>
      <c r="BQ47" s="319"/>
      <c r="BR47" s="319"/>
      <c r="BS47" s="323"/>
      <c r="BT47" s="319"/>
      <c r="BU47" s="319"/>
      <c r="BV47" s="319"/>
      <c r="BW47" s="319"/>
      <c r="BX47" s="319"/>
      <c r="BY47" s="319"/>
      <c r="BZ47" s="319"/>
      <c r="CA47" s="319"/>
      <c r="CB47" s="319"/>
      <c r="CC47" s="318"/>
      <c r="CD47" s="323"/>
      <c r="CE47" s="319"/>
      <c r="CF47" s="319"/>
      <c r="CG47" s="319"/>
      <c r="CH47" s="319"/>
      <c r="CI47" s="318"/>
      <c r="CJ47" s="323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8"/>
      <c r="CY47" s="323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</row>
    <row r="48" spans="1:115" x14ac:dyDescent="0.25">
      <c r="A48" s="313" t="s">
        <v>244</v>
      </c>
      <c r="B48" s="323"/>
      <c r="C48" s="319"/>
      <c r="D48" s="318"/>
      <c r="E48" s="318"/>
      <c r="F48" s="326"/>
      <c r="G48" s="326"/>
      <c r="H48" s="323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8"/>
      <c r="Y48" s="323"/>
      <c r="Z48" s="319"/>
      <c r="AA48" s="319"/>
      <c r="AB48" s="319"/>
      <c r="AC48" s="323"/>
      <c r="AD48" s="319"/>
      <c r="AE48" s="319"/>
      <c r="AF48" s="319"/>
      <c r="AG48" s="319"/>
      <c r="AH48" s="319"/>
      <c r="AI48" s="319"/>
      <c r="AJ48" s="319"/>
      <c r="AK48" s="319"/>
      <c r="AL48" s="319"/>
      <c r="AM48" s="318"/>
      <c r="AN48" s="323"/>
      <c r="AO48" s="319"/>
      <c r="AP48" s="319"/>
      <c r="AQ48" s="319"/>
      <c r="AR48" s="319"/>
      <c r="AS48" s="319"/>
      <c r="AT48" s="319"/>
      <c r="AU48" s="318"/>
      <c r="AV48" s="323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23"/>
      <c r="BJ48" s="319"/>
      <c r="BK48" s="319"/>
      <c r="BL48" s="319"/>
      <c r="BM48" s="319"/>
      <c r="BN48" s="319"/>
      <c r="BO48" s="319"/>
      <c r="BP48" s="319"/>
      <c r="BQ48" s="319"/>
      <c r="BR48" s="319"/>
      <c r="BS48" s="323"/>
      <c r="BT48" s="319"/>
      <c r="BU48" s="319"/>
      <c r="BV48" s="319"/>
      <c r="BW48" s="319"/>
      <c r="BX48" s="319"/>
      <c r="BY48" s="319"/>
      <c r="BZ48" s="319"/>
      <c r="CA48" s="319"/>
      <c r="CB48" s="319"/>
      <c r="CC48" s="318"/>
      <c r="CD48" s="323"/>
      <c r="CE48" s="319"/>
      <c r="CF48" s="319"/>
      <c r="CG48" s="319"/>
      <c r="CH48" s="319"/>
      <c r="CI48" s="318"/>
      <c r="CJ48" s="323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8"/>
      <c r="CY48" s="323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</row>
    <row r="49" spans="1:115" x14ac:dyDescent="0.25">
      <c r="A49" s="313" t="s">
        <v>245</v>
      </c>
      <c r="B49" s="323"/>
      <c r="C49" s="319"/>
      <c r="D49" s="318"/>
      <c r="E49" s="318"/>
      <c r="F49" s="326"/>
      <c r="G49" s="326"/>
      <c r="H49" s="323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8"/>
      <c r="Y49" s="323"/>
      <c r="Z49" s="319"/>
      <c r="AA49" s="319"/>
      <c r="AB49" s="319"/>
      <c r="AC49" s="323"/>
      <c r="AD49" s="319"/>
      <c r="AE49" s="319"/>
      <c r="AF49" s="319"/>
      <c r="AG49" s="319"/>
      <c r="AH49" s="319"/>
      <c r="AI49" s="319"/>
      <c r="AJ49" s="319"/>
      <c r="AK49" s="319"/>
      <c r="AL49" s="319"/>
      <c r="AM49" s="318"/>
      <c r="AN49" s="323"/>
      <c r="AO49" s="319"/>
      <c r="AP49" s="319"/>
      <c r="AQ49" s="319"/>
      <c r="AR49" s="319"/>
      <c r="AS49" s="319"/>
      <c r="AT49" s="319"/>
      <c r="AU49" s="318"/>
      <c r="AV49" s="323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23"/>
      <c r="BJ49" s="319"/>
      <c r="BK49" s="319"/>
      <c r="BL49" s="319"/>
      <c r="BM49" s="319"/>
      <c r="BN49" s="319"/>
      <c r="BO49" s="319"/>
      <c r="BP49" s="319"/>
      <c r="BQ49" s="319"/>
      <c r="BR49" s="319"/>
      <c r="BS49" s="323"/>
      <c r="BT49" s="319"/>
      <c r="BU49" s="319"/>
      <c r="BV49" s="319"/>
      <c r="BW49" s="319"/>
      <c r="BX49" s="319"/>
      <c r="BY49" s="319"/>
      <c r="BZ49" s="319"/>
      <c r="CA49" s="319"/>
      <c r="CB49" s="319"/>
      <c r="CC49" s="318"/>
      <c r="CD49" s="323"/>
      <c r="CE49" s="319"/>
      <c r="CF49" s="319"/>
      <c r="CG49" s="319"/>
      <c r="CH49" s="319"/>
      <c r="CI49" s="318"/>
      <c r="CJ49" s="323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8"/>
      <c r="CY49" s="323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</row>
    <row r="50" spans="1:115" x14ac:dyDescent="0.25">
      <c r="A50" s="313" t="s">
        <v>246</v>
      </c>
      <c r="B50" s="323"/>
      <c r="C50" s="319"/>
      <c r="D50" s="318"/>
      <c r="E50" s="318"/>
      <c r="F50" s="326"/>
      <c r="G50" s="326"/>
      <c r="H50" s="323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8"/>
      <c r="Y50" s="323"/>
      <c r="Z50" s="319"/>
      <c r="AA50" s="319"/>
      <c r="AB50" s="319"/>
      <c r="AC50" s="323"/>
      <c r="AD50" s="319"/>
      <c r="AE50" s="319"/>
      <c r="AF50" s="319"/>
      <c r="AG50" s="319"/>
      <c r="AH50" s="319"/>
      <c r="AI50" s="319"/>
      <c r="AJ50" s="319"/>
      <c r="AK50" s="319"/>
      <c r="AL50" s="319"/>
      <c r="AM50" s="318"/>
      <c r="AN50" s="323"/>
      <c r="AO50" s="319"/>
      <c r="AP50" s="319"/>
      <c r="AQ50" s="319"/>
      <c r="AR50" s="319"/>
      <c r="AS50" s="319"/>
      <c r="AT50" s="319"/>
      <c r="AU50" s="318"/>
      <c r="AV50" s="323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23"/>
      <c r="BJ50" s="319"/>
      <c r="BK50" s="319"/>
      <c r="BL50" s="319"/>
      <c r="BM50" s="319"/>
      <c r="BN50" s="319"/>
      <c r="BO50" s="319"/>
      <c r="BP50" s="319"/>
      <c r="BQ50" s="319"/>
      <c r="BR50" s="319"/>
      <c r="BS50" s="323"/>
      <c r="BT50" s="319"/>
      <c r="BU50" s="319"/>
      <c r="BV50" s="319"/>
      <c r="BW50" s="319"/>
      <c r="BX50" s="319"/>
      <c r="BY50" s="319"/>
      <c r="BZ50" s="319"/>
      <c r="CA50" s="319"/>
      <c r="CB50" s="319"/>
      <c r="CC50" s="318"/>
      <c r="CD50" s="323"/>
      <c r="CE50" s="319"/>
      <c r="CF50" s="319"/>
      <c r="CG50" s="319"/>
      <c r="CH50" s="319"/>
      <c r="CI50" s="318"/>
      <c r="CJ50" s="323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8"/>
      <c r="CY50" s="323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</row>
    <row r="51" spans="1:115" x14ac:dyDescent="0.25">
      <c r="A51" s="313" t="s">
        <v>247</v>
      </c>
      <c r="B51" s="323"/>
      <c r="C51" s="319"/>
      <c r="D51" s="318"/>
      <c r="E51" s="318"/>
      <c r="F51" s="326"/>
      <c r="G51" s="326"/>
      <c r="H51" s="323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8"/>
      <c r="Y51" s="323"/>
      <c r="Z51" s="319"/>
      <c r="AA51" s="319"/>
      <c r="AB51" s="319"/>
      <c r="AC51" s="323"/>
      <c r="AD51" s="319"/>
      <c r="AE51" s="319"/>
      <c r="AF51" s="319"/>
      <c r="AG51" s="319"/>
      <c r="AH51" s="319"/>
      <c r="AI51" s="319"/>
      <c r="AJ51" s="319"/>
      <c r="AK51" s="319"/>
      <c r="AL51" s="319"/>
      <c r="AM51" s="318"/>
      <c r="AN51" s="323"/>
      <c r="AO51" s="319"/>
      <c r="AP51" s="319"/>
      <c r="AQ51" s="319"/>
      <c r="AR51" s="319"/>
      <c r="AS51" s="319"/>
      <c r="AT51" s="319"/>
      <c r="AU51" s="318"/>
      <c r="AV51" s="323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23"/>
      <c r="BJ51" s="319"/>
      <c r="BK51" s="319"/>
      <c r="BL51" s="319"/>
      <c r="BM51" s="319"/>
      <c r="BN51" s="319"/>
      <c r="BO51" s="319"/>
      <c r="BP51" s="319"/>
      <c r="BQ51" s="319"/>
      <c r="BR51" s="319"/>
      <c r="BS51" s="323"/>
      <c r="BT51" s="319"/>
      <c r="BU51" s="319"/>
      <c r="BV51" s="319"/>
      <c r="BW51" s="319"/>
      <c r="BX51" s="319"/>
      <c r="BY51" s="319"/>
      <c r="BZ51" s="319"/>
      <c r="CA51" s="319"/>
      <c r="CB51" s="319"/>
      <c r="CC51" s="318"/>
      <c r="CD51" s="323"/>
      <c r="CE51" s="319"/>
      <c r="CF51" s="319"/>
      <c r="CG51" s="319"/>
      <c r="CH51" s="319"/>
      <c r="CI51" s="318"/>
      <c r="CJ51" s="323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8"/>
      <c r="CY51" s="323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</row>
    <row r="52" spans="1:115" x14ac:dyDescent="0.25">
      <c r="A52" s="313" t="s">
        <v>248</v>
      </c>
      <c r="B52" s="323"/>
      <c r="C52" s="319"/>
      <c r="D52" s="318"/>
      <c r="E52" s="318"/>
      <c r="F52" s="326"/>
      <c r="G52" s="326"/>
      <c r="H52" s="323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8"/>
      <c r="Y52" s="323"/>
      <c r="Z52" s="319"/>
      <c r="AA52" s="319"/>
      <c r="AB52" s="319"/>
      <c r="AC52" s="323"/>
      <c r="AD52" s="319"/>
      <c r="AE52" s="319"/>
      <c r="AF52" s="319"/>
      <c r="AG52" s="319"/>
      <c r="AH52" s="319"/>
      <c r="AI52" s="319"/>
      <c r="AJ52" s="319"/>
      <c r="AK52" s="319"/>
      <c r="AL52" s="319"/>
      <c r="AM52" s="318"/>
      <c r="AN52" s="323"/>
      <c r="AO52" s="319"/>
      <c r="AP52" s="319"/>
      <c r="AQ52" s="319"/>
      <c r="AR52" s="319"/>
      <c r="AS52" s="319"/>
      <c r="AT52" s="319"/>
      <c r="AU52" s="318"/>
      <c r="AV52" s="323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23"/>
      <c r="BJ52" s="319"/>
      <c r="BK52" s="319"/>
      <c r="BL52" s="319"/>
      <c r="BM52" s="319"/>
      <c r="BN52" s="319"/>
      <c r="BO52" s="319"/>
      <c r="BP52" s="319"/>
      <c r="BQ52" s="319"/>
      <c r="BR52" s="319"/>
      <c r="BS52" s="323"/>
      <c r="BT52" s="319"/>
      <c r="BU52" s="319"/>
      <c r="BV52" s="319"/>
      <c r="BW52" s="319"/>
      <c r="BX52" s="319"/>
      <c r="BY52" s="319"/>
      <c r="BZ52" s="319"/>
      <c r="CA52" s="319"/>
      <c r="CB52" s="319"/>
      <c r="CC52" s="318"/>
      <c r="CD52" s="323"/>
      <c r="CE52" s="319"/>
      <c r="CF52" s="319"/>
      <c r="CG52" s="319"/>
      <c r="CH52" s="319"/>
      <c r="CI52" s="318"/>
      <c r="CJ52" s="323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8"/>
      <c r="CY52" s="323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</row>
    <row r="53" spans="1:115" x14ac:dyDescent="0.25">
      <c r="A53" s="313" t="s">
        <v>249</v>
      </c>
      <c r="B53" s="323"/>
      <c r="C53" s="319"/>
      <c r="D53" s="318"/>
      <c r="E53" s="318"/>
      <c r="F53" s="326"/>
      <c r="G53" s="326"/>
      <c r="H53" s="323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8"/>
      <c r="Y53" s="323"/>
      <c r="Z53" s="319"/>
      <c r="AA53" s="319"/>
      <c r="AB53" s="319"/>
      <c r="AC53" s="323"/>
      <c r="AD53" s="319"/>
      <c r="AE53" s="319"/>
      <c r="AF53" s="319"/>
      <c r="AG53" s="319"/>
      <c r="AH53" s="319"/>
      <c r="AI53" s="319"/>
      <c r="AJ53" s="319"/>
      <c r="AK53" s="319"/>
      <c r="AL53" s="319"/>
      <c r="AM53" s="318"/>
      <c r="AN53" s="323"/>
      <c r="AO53" s="319"/>
      <c r="AP53" s="319"/>
      <c r="AQ53" s="319"/>
      <c r="AR53" s="319"/>
      <c r="AS53" s="319"/>
      <c r="AT53" s="319"/>
      <c r="AU53" s="318"/>
      <c r="AV53" s="323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23"/>
      <c r="BJ53" s="319"/>
      <c r="BK53" s="319"/>
      <c r="BL53" s="319"/>
      <c r="BM53" s="319"/>
      <c r="BN53" s="319"/>
      <c r="BO53" s="319"/>
      <c r="BP53" s="319"/>
      <c r="BQ53" s="319"/>
      <c r="BR53" s="319"/>
      <c r="BS53" s="323"/>
      <c r="BT53" s="319"/>
      <c r="BU53" s="319"/>
      <c r="BV53" s="319"/>
      <c r="BW53" s="319"/>
      <c r="BX53" s="319"/>
      <c r="BY53" s="319"/>
      <c r="BZ53" s="319"/>
      <c r="CA53" s="319"/>
      <c r="CB53" s="319"/>
      <c r="CC53" s="318"/>
      <c r="CD53" s="323"/>
      <c r="CE53" s="319"/>
      <c r="CF53" s="319"/>
      <c r="CG53" s="319"/>
      <c r="CH53" s="319"/>
      <c r="CI53" s="318"/>
      <c r="CJ53" s="323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8"/>
      <c r="CY53" s="323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</row>
    <row r="54" spans="1:115" x14ac:dyDescent="0.25">
      <c r="A54" s="313" t="s">
        <v>250</v>
      </c>
      <c r="B54" s="323"/>
      <c r="C54" s="319"/>
      <c r="D54" s="318"/>
      <c r="E54" s="318"/>
      <c r="F54" s="326"/>
      <c r="G54" s="326"/>
      <c r="H54" s="323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8"/>
      <c r="Y54" s="323"/>
      <c r="Z54" s="319"/>
      <c r="AA54" s="319"/>
      <c r="AB54" s="319"/>
      <c r="AC54" s="323"/>
      <c r="AD54" s="319"/>
      <c r="AE54" s="319"/>
      <c r="AF54" s="319"/>
      <c r="AG54" s="319"/>
      <c r="AH54" s="319"/>
      <c r="AI54" s="319"/>
      <c r="AJ54" s="319"/>
      <c r="AK54" s="319"/>
      <c r="AL54" s="319"/>
      <c r="AM54" s="318"/>
      <c r="AN54" s="323"/>
      <c r="AO54" s="319"/>
      <c r="AP54" s="319"/>
      <c r="AQ54" s="319"/>
      <c r="AR54" s="319"/>
      <c r="AS54" s="319"/>
      <c r="AT54" s="319"/>
      <c r="AU54" s="318"/>
      <c r="AV54" s="323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23"/>
      <c r="BJ54" s="319"/>
      <c r="BK54" s="319"/>
      <c r="BL54" s="319"/>
      <c r="BM54" s="319"/>
      <c r="BN54" s="319"/>
      <c r="BO54" s="319"/>
      <c r="BP54" s="319"/>
      <c r="BQ54" s="319"/>
      <c r="BR54" s="319"/>
      <c r="BS54" s="323"/>
      <c r="BT54" s="319"/>
      <c r="BU54" s="319"/>
      <c r="BV54" s="319"/>
      <c r="BW54" s="319"/>
      <c r="BX54" s="319"/>
      <c r="BY54" s="319"/>
      <c r="BZ54" s="319"/>
      <c r="CA54" s="319"/>
      <c r="CB54" s="319"/>
      <c r="CC54" s="318"/>
      <c r="CD54" s="323"/>
      <c r="CE54" s="319"/>
      <c r="CF54" s="319"/>
      <c r="CG54" s="319"/>
      <c r="CH54" s="319"/>
      <c r="CI54" s="318"/>
      <c r="CJ54" s="323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8"/>
      <c r="CY54" s="323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</row>
    <row r="55" spans="1:115" x14ac:dyDescent="0.25">
      <c r="A55" s="313" t="s">
        <v>251</v>
      </c>
      <c r="B55" s="323"/>
      <c r="C55" s="319"/>
      <c r="D55" s="318"/>
      <c r="E55" s="318"/>
      <c r="F55" s="326"/>
      <c r="G55" s="326"/>
      <c r="H55" s="323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8"/>
      <c r="Y55" s="323"/>
      <c r="Z55" s="319"/>
      <c r="AA55" s="319"/>
      <c r="AB55" s="319"/>
      <c r="AC55" s="323"/>
      <c r="AD55" s="319"/>
      <c r="AE55" s="319"/>
      <c r="AF55" s="319"/>
      <c r="AG55" s="319"/>
      <c r="AH55" s="319"/>
      <c r="AI55" s="319"/>
      <c r="AJ55" s="319"/>
      <c r="AK55" s="319"/>
      <c r="AL55" s="319"/>
      <c r="AM55" s="318"/>
      <c r="AN55" s="323"/>
      <c r="AO55" s="319"/>
      <c r="AP55" s="319"/>
      <c r="AQ55" s="319"/>
      <c r="AR55" s="319"/>
      <c r="AS55" s="319"/>
      <c r="AT55" s="319"/>
      <c r="AU55" s="318"/>
      <c r="AV55" s="323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23"/>
      <c r="BJ55" s="319"/>
      <c r="BK55" s="319"/>
      <c r="BL55" s="319"/>
      <c r="BM55" s="319"/>
      <c r="BN55" s="319"/>
      <c r="BO55" s="319"/>
      <c r="BP55" s="319"/>
      <c r="BQ55" s="319"/>
      <c r="BR55" s="319"/>
      <c r="BS55" s="323"/>
      <c r="BT55" s="319"/>
      <c r="BU55" s="319"/>
      <c r="BV55" s="319"/>
      <c r="BW55" s="319"/>
      <c r="BX55" s="319"/>
      <c r="BY55" s="319"/>
      <c r="BZ55" s="319"/>
      <c r="CA55" s="319"/>
      <c r="CB55" s="319"/>
      <c r="CC55" s="318"/>
      <c r="CD55" s="323"/>
      <c r="CE55" s="319"/>
      <c r="CF55" s="319"/>
      <c r="CG55" s="319"/>
      <c r="CH55" s="319"/>
      <c r="CI55" s="318"/>
      <c r="CJ55" s="323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8"/>
      <c r="CY55" s="323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</row>
    <row r="56" spans="1:115" x14ac:dyDescent="0.25">
      <c r="A56" s="313" t="s">
        <v>252</v>
      </c>
      <c r="B56" s="323"/>
      <c r="C56" s="319"/>
      <c r="D56" s="318"/>
      <c r="E56" s="318"/>
      <c r="F56" s="326"/>
      <c r="G56" s="326"/>
      <c r="H56" s="323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8"/>
      <c r="Y56" s="323"/>
      <c r="Z56" s="319"/>
      <c r="AA56" s="319"/>
      <c r="AB56" s="319"/>
      <c r="AC56" s="323"/>
      <c r="AD56" s="319"/>
      <c r="AE56" s="319"/>
      <c r="AF56" s="319"/>
      <c r="AG56" s="319"/>
      <c r="AH56" s="319"/>
      <c r="AI56" s="319"/>
      <c r="AJ56" s="319"/>
      <c r="AK56" s="319"/>
      <c r="AL56" s="319"/>
      <c r="AM56" s="318"/>
      <c r="AN56" s="323"/>
      <c r="AO56" s="319"/>
      <c r="AP56" s="319"/>
      <c r="AQ56" s="319"/>
      <c r="AR56" s="319"/>
      <c r="AS56" s="319"/>
      <c r="AT56" s="319"/>
      <c r="AU56" s="318"/>
      <c r="AV56" s="323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23"/>
      <c r="BJ56" s="319"/>
      <c r="BK56" s="319"/>
      <c r="BL56" s="319"/>
      <c r="BM56" s="319"/>
      <c r="BN56" s="319"/>
      <c r="BO56" s="319"/>
      <c r="BP56" s="319"/>
      <c r="BQ56" s="319"/>
      <c r="BR56" s="319"/>
      <c r="BS56" s="323"/>
      <c r="BT56" s="319"/>
      <c r="BU56" s="319"/>
      <c r="BV56" s="319"/>
      <c r="BW56" s="319"/>
      <c r="BX56" s="319"/>
      <c r="BY56" s="319"/>
      <c r="BZ56" s="319"/>
      <c r="CA56" s="319"/>
      <c r="CB56" s="319"/>
      <c r="CC56" s="318"/>
      <c r="CD56" s="323"/>
      <c r="CE56" s="319"/>
      <c r="CF56" s="319"/>
      <c r="CG56" s="319"/>
      <c r="CH56" s="319"/>
      <c r="CI56" s="318"/>
      <c r="CJ56" s="323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8"/>
      <c r="CY56" s="323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</row>
    <row r="57" spans="1:115" x14ac:dyDescent="0.25">
      <c r="A57" s="313" t="s">
        <v>253</v>
      </c>
      <c r="B57" s="323"/>
      <c r="C57" s="319"/>
      <c r="D57" s="318"/>
      <c r="E57" s="318"/>
      <c r="F57" s="326"/>
      <c r="G57" s="326"/>
      <c r="H57" s="323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8"/>
      <c r="Y57" s="323"/>
      <c r="Z57" s="319"/>
      <c r="AA57" s="319"/>
      <c r="AB57" s="319"/>
      <c r="AC57" s="323"/>
      <c r="AD57" s="319"/>
      <c r="AE57" s="319"/>
      <c r="AF57" s="319"/>
      <c r="AG57" s="319"/>
      <c r="AH57" s="319"/>
      <c r="AI57" s="319"/>
      <c r="AJ57" s="319"/>
      <c r="AK57" s="319"/>
      <c r="AL57" s="319"/>
      <c r="AM57" s="318"/>
      <c r="AN57" s="323"/>
      <c r="AO57" s="319"/>
      <c r="AP57" s="319"/>
      <c r="AQ57" s="319"/>
      <c r="AR57" s="319"/>
      <c r="AS57" s="319"/>
      <c r="AT57" s="319"/>
      <c r="AU57" s="318"/>
      <c r="AV57" s="323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23"/>
      <c r="BJ57" s="319"/>
      <c r="BK57" s="319"/>
      <c r="BL57" s="319"/>
      <c r="BM57" s="319"/>
      <c r="BN57" s="319"/>
      <c r="BO57" s="319"/>
      <c r="BP57" s="319"/>
      <c r="BQ57" s="319"/>
      <c r="BR57" s="319"/>
      <c r="BS57" s="323"/>
      <c r="BT57" s="319"/>
      <c r="BU57" s="319"/>
      <c r="BV57" s="319"/>
      <c r="BW57" s="319"/>
      <c r="BX57" s="319"/>
      <c r="BY57" s="319"/>
      <c r="BZ57" s="319"/>
      <c r="CA57" s="319"/>
      <c r="CB57" s="319"/>
      <c r="CC57" s="318"/>
      <c r="CD57" s="323"/>
      <c r="CE57" s="319"/>
      <c r="CF57" s="319"/>
      <c r="CG57" s="319"/>
      <c r="CH57" s="319"/>
      <c r="CI57" s="318"/>
      <c r="CJ57" s="323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8"/>
      <c r="CY57" s="323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</row>
    <row r="58" spans="1:115" x14ac:dyDescent="0.25">
      <c r="A58" s="313" t="s">
        <v>254</v>
      </c>
      <c r="B58" s="323"/>
      <c r="C58" s="319"/>
      <c r="D58" s="318"/>
      <c r="E58" s="318"/>
      <c r="F58" s="326"/>
      <c r="G58" s="326"/>
      <c r="H58" s="323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8"/>
      <c r="Y58" s="323"/>
      <c r="Z58" s="319"/>
      <c r="AA58" s="319"/>
      <c r="AB58" s="319"/>
      <c r="AC58" s="323"/>
      <c r="AD58" s="319"/>
      <c r="AE58" s="319"/>
      <c r="AF58" s="319"/>
      <c r="AG58" s="319"/>
      <c r="AH58" s="319"/>
      <c r="AI58" s="319"/>
      <c r="AJ58" s="319"/>
      <c r="AK58" s="319"/>
      <c r="AL58" s="319"/>
      <c r="AM58" s="318"/>
      <c r="AN58" s="323"/>
      <c r="AO58" s="319"/>
      <c r="AP58" s="319"/>
      <c r="AQ58" s="319"/>
      <c r="AR58" s="319"/>
      <c r="AS58" s="319"/>
      <c r="AT58" s="319"/>
      <c r="AU58" s="318"/>
      <c r="AV58" s="323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23"/>
      <c r="BJ58" s="319"/>
      <c r="BK58" s="319"/>
      <c r="BL58" s="319"/>
      <c r="BM58" s="319"/>
      <c r="BN58" s="319"/>
      <c r="BO58" s="319"/>
      <c r="BP58" s="319"/>
      <c r="BQ58" s="319"/>
      <c r="BR58" s="319"/>
      <c r="BS58" s="323"/>
      <c r="BT58" s="319"/>
      <c r="BU58" s="319"/>
      <c r="BV58" s="319"/>
      <c r="BW58" s="319"/>
      <c r="BX58" s="319"/>
      <c r="BY58" s="319"/>
      <c r="BZ58" s="319"/>
      <c r="CA58" s="319"/>
      <c r="CB58" s="319"/>
      <c r="CC58" s="318"/>
      <c r="CD58" s="323"/>
      <c r="CE58" s="319"/>
      <c r="CF58" s="319"/>
      <c r="CG58" s="319"/>
      <c r="CH58" s="319"/>
      <c r="CI58" s="318"/>
      <c r="CJ58" s="323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8"/>
      <c r="CY58" s="323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</row>
    <row r="59" spans="1:115" x14ac:dyDescent="0.25">
      <c r="A59" s="313" t="s">
        <v>255</v>
      </c>
      <c r="B59" s="323"/>
      <c r="C59" s="319"/>
      <c r="D59" s="318"/>
      <c r="E59" s="318"/>
      <c r="F59" s="326"/>
      <c r="G59" s="326"/>
      <c r="H59" s="323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8"/>
      <c r="Y59" s="323"/>
      <c r="Z59" s="319"/>
      <c r="AA59" s="319"/>
      <c r="AB59" s="319"/>
      <c r="AC59" s="323"/>
      <c r="AD59" s="319"/>
      <c r="AE59" s="319"/>
      <c r="AF59" s="319"/>
      <c r="AG59" s="319"/>
      <c r="AH59" s="319"/>
      <c r="AI59" s="319"/>
      <c r="AJ59" s="319"/>
      <c r="AK59" s="319"/>
      <c r="AL59" s="319"/>
      <c r="AM59" s="318"/>
      <c r="AN59" s="323"/>
      <c r="AO59" s="319"/>
      <c r="AP59" s="319"/>
      <c r="AQ59" s="319"/>
      <c r="AR59" s="319"/>
      <c r="AS59" s="319"/>
      <c r="AT59" s="319"/>
      <c r="AU59" s="318"/>
      <c r="AV59" s="323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23"/>
      <c r="BJ59" s="319"/>
      <c r="BK59" s="319"/>
      <c r="BL59" s="319"/>
      <c r="BM59" s="319"/>
      <c r="BN59" s="319"/>
      <c r="BO59" s="319"/>
      <c r="BP59" s="319"/>
      <c r="BQ59" s="319"/>
      <c r="BR59" s="319"/>
      <c r="BS59" s="323"/>
      <c r="BT59" s="319"/>
      <c r="BU59" s="319"/>
      <c r="BV59" s="319"/>
      <c r="BW59" s="319"/>
      <c r="BX59" s="319"/>
      <c r="BY59" s="319"/>
      <c r="BZ59" s="319"/>
      <c r="CA59" s="319"/>
      <c r="CB59" s="319"/>
      <c r="CC59" s="318"/>
      <c r="CD59" s="323"/>
      <c r="CE59" s="319"/>
      <c r="CF59" s="319"/>
      <c r="CG59" s="319"/>
      <c r="CH59" s="319"/>
      <c r="CI59" s="318"/>
      <c r="CJ59" s="323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8"/>
      <c r="CY59" s="323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</row>
    <row r="60" spans="1:115" x14ac:dyDescent="0.25">
      <c r="A60" s="313" t="s">
        <v>256</v>
      </c>
      <c r="B60" s="323"/>
      <c r="C60" s="319"/>
      <c r="D60" s="318"/>
      <c r="E60" s="318"/>
      <c r="F60" s="326"/>
      <c r="G60" s="326"/>
      <c r="H60" s="323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8"/>
      <c r="Y60" s="323"/>
      <c r="Z60" s="319"/>
      <c r="AA60" s="319"/>
      <c r="AB60" s="319"/>
      <c r="AC60" s="323"/>
      <c r="AD60" s="319"/>
      <c r="AE60" s="319"/>
      <c r="AF60" s="319"/>
      <c r="AG60" s="319"/>
      <c r="AH60" s="319"/>
      <c r="AI60" s="319"/>
      <c r="AJ60" s="319"/>
      <c r="AK60" s="319"/>
      <c r="AL60" s="319"/>
      <c r="AM60" s="318"/>
      <c r="AN60" s="323"/>
      <c r="AO60" s="319"/>
      <c r="AP60" s="319"/>
      <c r="AQ60" s="319"/>
      <c r="AR60" s="319"/>
      <c r="AS60" s="319"/>
      <c r="AT60" s="319"/>
      <c r="AU60" s="318"/>
      <c r="AV60" s="323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23"/>
      <c r="BJ60" s="319"/>
      <c r="BK60" s="319"/>
      <c r="BL60" s="319"/>
      <c r="BM60" s="319"/>
      <c r="BN60" s="319"/>
      <c r="BO60" s="319"/>
      <c r="BP60" s="319"/>
      <c r="BQ60" s="319"/>
      <c r="BR60" s="319"/>
      <c r="BS60" s="323"/>
      <c r="BT60" s="319"/>
      <c r="BU60" s="319"/>
      <c r="BV60" s="319"/>
      <c r="BW60" s="319"/>
      <c r="BX60" s="319"/>
      <c r="BY60" s="319"/>
      <c r="BZ60" s="319"/>
      <c r="CA60" s="319"/>
      <c r="CB60" s="319"/>
      <c r="CC60" s="318"/>
      <c r="CD60" s="323"/>
      <c r="CE60" s="319"/>
      <c r="CF60" s="319"/>
      <c r="CG60" s="319"/>
      <c r="CH60" s="319"/>
      <c r="CI60" s="318"/>
      <c r="CJ60" s="323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8"/>
      <c r="CY60" s="323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</row>
    <row r="61" spans="1:115" x14ac:dyDescent="0.25">
      <c r="A61" s="313" t="s">
        <v>257</v>
      </c>
      <c r="B61" s="323"/>
      <c r="C61" s="319"/>
      <c r="D61" s="318"/>
      <c r="E61" s="318"/>
      <c r="F61" s="326"/>
      <c r="G61" s="326"/>
      <c r="H61" s="323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8"/>
      <c r="Y61" s="323"/>
      <c r="Z61" s="319"/>
      <c r="AA61" s="319"/>
      <c r="AB61" s="319"/>
      <c r="AC61" s="323"/>
      <c r="AD61" s="319"/>
      <c r="AE61" s="319"/>
      <c r="AF61" s="319"/>
      <c r="AG61" s="319"/>
      <c r="AH61" s="319"/>
      <c r="AI61" s="319"/>
      <c r="AJ61" s="319"/>
      <c r="AK61" s="319"/>
      <c r="AL61" s="319"/>
      <c r="AM61" s="318"/>
      <c r="AN61" s="323"/>
      <c r="AO61" s="319"/>
      <c r="AP61" s="319"/>
      <c r="AQ61" s="319"/>
      <c r="AR61" s="319"/>
      <c r="AS61" s="319"/>
      <c r="AT61" s="319"/>
      <c r="AU61" s="318"/>
      <c r="AV61" s="323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23"/>
      <c r="BJ61" s="319"/>
      <c r="BK61" s="319"/>
      <c r="BL61" s="319"/>
      <c r="BM61" s="319"/>
      <c r="BN61" s="319"/>
      <c r="BO61" s="319"/>
      <c r="BP61" s="319"/>
      <c r="BQ61" s="319"/>
      <c r="BR61" s="319"/>
      <c r="BS61" s="323"/>
      <c r="BT61" s="319"/>
      <c r="BU61" s="319"/>
      <c r="BV61" s="319"/>
      <c r="BW61" s="319"/>
      <c r="BX61" s="319"/>
      <c r="BY61" s="319"/>
      <c r="BZ61" s="319"/>
      <c r="CA61" s="319"/>
      <c r="CB61" s="319"/>
      <c r="CC61" s="318"/>
      <c r="CD61" s="323"/>
      <c r="CE61" s="319"/>
      <c r="CF61" s="319"/>
      <c r="CG61" s="319"/>
      <c r="CH61" s="319"/>
      <c r="CI61" s="318"/>
      <c r="CJ61" s="323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8"/>
      <c r="CY61" s="323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</row>
    <row r="62" spans="1:115" x14ac:dyDescent="0.25">
      <c r="A62" s="313" t="s">
        <v>258</v>
      </c>
      <c r="B62" s="323"/>
      <c r="C62" s="319"/>
      <c r="D62" s="318"/>
      <c r="E62" s="318"/>
      <c r="F62" s="326"/>
      <c r="G62" s="326"/>
      <c r="H62" s="323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8"/>
      <c r="Y62" s="323"/>
      <c r="Z62" s="319"/>
      <c r="AA62" s="319"/>
      <c r="AB62" s="319"/>
      <c r="AC62" s="323"/>
      <c r="AD62" s="319"/>
      <c r="AE62" s="319"/>
      <c r="AF62" s="319"/>
      <c r="AG62" s="319"/>
      <c r="AH62" s="319"/>
      <c r="AI62" s="319"/>
      <c r="AJ62" s="319"/>
      <c r="AK62" s="319"/>
      <c r="AL62" s="319"/>
      <c r="AM62" s="318"/>
      <c r="AN62" s="323"/>
      <c r="AO62" s="319"/>
      <c r="AP62" s="319"/>
      <c r="AQ62" s="319"/>
      <c r="AR62" s="319"/>
      <c r="AS62" s="319"/>
      <c r="AT62" s="319"/>
      <c r="AU62" s="318"/>
      <c r="AV62" s="323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23"/>
      <c r="BJ62" s="319"/>
      <c r="BK62" s="319"/>
      <c r="BL62" s="319"/>
      <c r="BM62" s="319"/>
      <c r="BN62" s="319"/>
      <c r="BO62" s="319"/>
      <c r="BP62" s="319"/>
      <c r="BQ62" s="319"/>
      <c r="BR62" s="319"/>
      <c r="BS62" s="323"/>
      <c r="BT62" s="319"/>
      <c r="BU62" s="319"/>
      <c r="BV62" s="319"/>
      <c r="BW62" s="319"/>
      <c r="BX62" s="319"/>
      <c r="BY62" s="319"/>
      <c r="BZ62" s="319"/>
      <c r="CA62" s="319"/>
      <c r="CB62" s="319"/>
      <c r="CC62" s="318"/>
      <c r="CD62" s="323"/>
      <c r="CE62" s="319"/>
      <c r="CF62" s="319"/>
      <c r="CG62" s="319"/>
      <c r="CH62" s="319"/>
      <c r="CI62" s="318"/>
      <c r="CJ62" s="323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8"/>
      <c r="CY62" s="323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</row>
    <row r="63" spans="1:115" x14ac:dyDescent="0.25">
      <c r="A63" s="313" t="s">
        <v>259</v>
      </c>
      <c r="B63" s="323"/>
      <c r="C63" s="319"/>
      <c r="D63" s="318"/>
      <c r="E63" s="318"/>
      <c r="F63" s="326"/>
      <c r="G63" s="326"/>
      <c r="H63" s="323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8"/>
      <c r="Y63" s="323"/>
      <c r="Z63" s="319"/>
      <c r="AA63" s="319"/>
      <c r="AB63" s="319"/>
      <c r="AC63" s="323"/>
      <c r="AD63" s="319"/>
      <c r="AE63" s="319"/>
      <c r="AF63" s="319"/>
      <c r="AG63" s="319"/>
      <c r="AH63" s="319"/>
      <c r="AI63" s="319"/>
      <c r="AJ63" s="319"/>
      <c r="AK63" s="319"/>
      <c r="AL63" s="319"/>
      <c r="AM63" s="318"/>
      <c r="AN63" s="323"/>
      <c r="AO63" s="319"/>
      <c r="AP63" s="319"/>
      <c r="AQ63" s="319"/>
      <c r="AR63" s="319"/>
      <c r="AS63" s="319"/>
      <c r="AT63" s="319"/>
      <c r="AU63" s="318"/>
      <c r="AV63" s="323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23"/>
      <c r="BJ63" s="319"/>
      <c r="BK63" s="319"/>
      <c r="BL63" s="319"/>
      <c r="BM63" s="319"/>
      <c r="BN63" s="319"/>
      <c r="BO63" s="319"/>
      <c r="BP63" s="319"/>
      <c r="BQ63" s="319"/>
      <c r="BR63" s="319"/>
      <c r="BS63" s="323"/>
      <c r="BT63" s="319"/>
      <c r="BU63" s="319"/>
      <c r="BV63" s="319"/>
      <c r="BW63" s="319"/>
      <c r="BX63" s="319"/>
      <c r="BY63" s="319"/>
      <c r="BZ63" s="319"/>
      <c r="CA63" s="319"/>
      <c r="CB63" s="319"/>
      <c r="CC63" s="318"/>
      <c r="CD63" s="323"/>
      <c r="CE63" s="319"/>
      <c r="CF63" s="319"/>
      <c r="CG63" s="319"/>
      <c r="CH63" s="319"/>
      <c r="CI63" s="318"/>
      <c r="CJ63" s="323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8"/>
      <c r="CY63" s="323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</row>
    <row r="64" spans="1:115" x14ac:dyDescent="0.25">
      <c r="A64" s="313" t="s">
        <v>260</v>
      </c>
      <c r="B64" s="323"/>
      <c r="C64" s="319"/>
      <c r="D64" s="318"/>
      <c r="E64" s="318"/>
      <c r="F64" s="326"/>
      <c r="G64" s="326"/>
      <c r="H64" s="323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8"/>
      <c r="Y64" s="323"/>
      <c r="Z64" s="319"/>
      <c r="AA64" s="319"/>
      <c r="AB64" s="319"/>
      <c r="AC64" s="323"/>
      <c r="AD64" s="319"/>
      <c r="AE64" s="319"/>
      <c r="AF64" s="319"/>
      <c r="AG64" s="319"/>
      <c r="AH64" s="319"/>
      <c r="AI64" s="319"/>
      <c r="AJ64" s="319"/>
      <c r="AK64" s="319"/>
      <c r="AL64" s="319"/>
      <c r="AM64" s="318"/>
      <c r="AN64" s="323"/>
      <c r="AO64" s="319"/>
      <c r="AP64" s="319"/>
      <c r="AQ64" s="319"/>
      <c r="AR64" s="319"/>
      <c r="AS64" s="319"/>
      <c r="AT64" s="319"/>
      <c r="AU64" s="318"/>
      <c r="AV64" s="323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23"/>
      <c r="BJ64" s="319"/>
      <c r="BK64" s="319"/>
      <c r="BL64" s="319"/>
      <c r="BM64" s="319"/>
      <c r="BN64" s="319"/>
      <c r="BO64" s="319"/>
      <c r="BP64" s="319"/>
      <c r="BQ64" s="319"/>
      <c r="BR64" s="319"/>
      <c r="BS64" s="323"/>
      <c r="BT64" s="319"/>
      <c r="BU64" s="319"/>
      <c r="BV64" s="319"/>
      <c r="BW64" s="319"/>
      <c r="BX64" s="319"/>
      <c r="BY64" s="319"/>
      <c r="BZ64" s="319"/>
      <c r="CA64" s="319"/>
      <c r="CB64" s="319"/>
      <c r="CC64" s="318"/>
      <c r="CD64" s="323"/>
      <c r="CE64" s="319"/>
      <c r="CF64" s="319"/>
      <c r="CG64" s="319"/>
      <c r="CH64" s="319"/>
      <c r="CI64" s="318"/>
      <c r="CJ64" s="323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8"/>
      <c r="CY64" s="323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</row>
    <row r="65" spans="1:115" x14ac:dyDescent="0.25">
      <c r="A65" s="313" t="s">
        <v>261</v>
      </c>
      <c r="B65" s="323"/>
      <c r="C65" s="319"/>
      <c r="D65" s="318"/>
      <c r="E65" s="318"/>
      <c r="F65" s="326"/>
      <c r="G65" s="326"/>
      <c r="H65" s="323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8"/>
      <c r="Y65" s="323"/>
      <c r="Z65" s="319"/>
      <c r="AA65" s="319"/>
      <c r="AB65" s="319"/>
      <c r="AC65" s="323"/>
      <c r="AD65" s="319"/>
      <c r="AE65" s="319"/>
      <c r="AF65" s="319"/>
      <c r="AG65" s="319"/>
      <c r="AH65" s="319"/>
      <c r="AI65" s="319"/>
      <c r="AJ65" s="319"/>
      <c r="AK65" s="319"/>
      <c r="AL65" s="319"/>
      <c r="AM65" s="318"/>
      <c r="AN65" s="323"/>
      <c r="AO65" s="319"/>
      <c r="AP65" s="319"/>
      <c r="AQ65" s="319"/>
      <c r="AR65" s="319"/>
      <c r="AS65" s="319"/>
      <c r="AT65" s="319"/>
      <c r="AU65" s="318"/>
      <c r="AV65" s="323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23"/>
      <c r="BJ65" s="319"/>
      <c r="BK65" s="319"/>
      <c r="BL65" s="319"/>
      <c r="BM65" s="319"/>
      <c r="BN65" s="319"/>
      <c r="BO65" s="319"/>
      <c r="BP65" s="319"/>
      <c r="BQ65" s="319"/>
      <c r="BR65" s="319"/>
      <c r="BS65" s="323"/>
      <c r="BT65" s="319"/>
      <c r="BU65" s="319"/>
      <c r="BV65" s="319"/>
      <c r="BW65" s="319"/>
      <c r="BX65" s="319"/>
      <c r="BY65" s="319"/>
      <c r="BZ65" s="319"/>
      <c r="CA65" s="319"/>
      <c r="CB65" s="319"/>
      <c r="CC65" s="318"/>
      <c r="CD65" s="323"/>
      <c r="CE65" s="319"/>
      <c r="CF65" s="319"/>
      <c r="CG65" s="319"/>
      <c r="CH65" s="319"/>
      <c r="CI65" s="318"/>
      <c r="CJ65" s="323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8"/>
      <c r="CY65" s="323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</row>
    <row r="66" spans="1:115" x14ac:dyDescent="0.25">
      <c r="A66" s="313" t="s">
        <v>262</v>
      </c>
      <c r="B66" s="323"/>
      <c r="C66" s="319"/>
      <c r="D66" s="318"/>
      <c r="E66" s="318"/>
      <c r="F66" s="326"/>
      <c r="G66" s="326"/>
      <c r="H66" s="323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8"/>
      <c r="Y66" s="323"/>
      <c r="Z66" s="319"/>
      <c r="AA66" s="319"/>
      <c r="AB66" s="319"/>
      <c r="AC66" s="323"/>
      <c r="AD66" s="319"/>
      <c r="AE66" s="319"/>
      <c r="AF66" s="319"/>
      <c r="AG66" s="319"/>
      <c r="AH66" s="319"/>
      <c r="AI66" s="319"/>
      <c r="AJ66" s="319"/>
      <c r="AK66" s="319"/>
      <c r="AL66" s="319"/>
      <c r="AM66" s="318"/>
      <c r="AN66" s="323"/>
      <c r="AO66" s="319"/>
      <c r="AP66" s="319"/>
      <c r="AQ66" s="319"/>
      <c r="AR66" s="319"/>
      <c r="AS66" s="319"/>
      <c r="AT66" s="319"/>
      <c r="AU66" s="318"/>
      <c r="AV66" s="323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23"/>
      <c r="BJ66" s="319"/>
      <c r="BK66" s="319"/>
      <c r="BL66" s="319"/>
      <c r="BM66" s="319"/>
      <c r="BN66" s="319"/>
      <c r="BO66" s="319"/>
      <c r="BP66" s="319"/>
      <c r="BQ66" s="319"/>
      <c r="BR66" s="319"/>
      <c r="BS66" s="323"/>
      <c r="BT66" s="319"/>
      <c r="BU66" s="319"/>
      <c r="BV66" s="319"/>
      <c r="BW66" s="319"/>
      <c r="BX66" s="319"/>
      <c r="BY66" s="319"/>
      <c r="BZ66" s="319"/>
      <c r="CA66" s="319"/>
      <c r="CB66" s="319"/>
      <c r="CC66" s="318"/>
      <c r="CD66" s="323"/>
      <c r="CE66" s="319"/>
      <c r="CF66" s="319"/>
      <c r="CG66" s="319"/>
      <c r="CH66" s="319"/>
      <c r="CI66" s="318"/>
      <c r="CJ66" s="323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8"/>
      <c r="CY66" s="323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</row>
    <row r="67" spans="1:115" x14ac:dyDescent="0.25">
      <c r="A67" s="313" t="s">
        <v>263</v>
      </c>
      <c r="B67" s="323"/>
      <c r="C67" s="319"/>
      <c r="D67" s="318"/>
      <c r="E67" s="318"/>
      <c r="F67" s="326"/>
      <c r="G67" s="326"/>
      <c r="H67" s="323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8"/>
      <c r="Y67" s="323"/>
      <c r="Z67" s="319"/>
      <c r="AA67" s="319"/>
      <c r="AB67" s="319"/>
      <c r="AC67" s="323"/>
      <c r="AD67" s="319"/>
      <c r="AE67" s="319"/>
      <c r="AF67" s="319"/>
      <c r="AG67" s="319"/>
      <c r="AH67" s="319"/>
      <c r="AI67" s="319"/>
      <c r="AJ67" s="319"/>
      <c r="AK67" s="319"/>
      <c r="AL67" s="319"/>
      <c r="AM67" s="318"/>
      <c r="AN67" s="323"/>
      <c r="AO67" s="319"/>
      <c r="AP67" s="319"/>
      <c r="AQ67" s="319"/>
      <c r="AR67" s="319"/>
      <c r="AS67" s="319"/>
      <c r="AT67" s="319"/>
      <c r="AU67" s="318"/>
      <c r="AV67" s="323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23"/>
      <c r="BJ67" s="319"/>
      <c r="BK67" s="319"/>
      <c r="BL67" s="319"/>
      <c r="BM67" s="319"/>
      <c r="BN67" s="319"/>
      <c r="BO67" s="319"/>
      <c r="BP67" s="319"/>
      <c r="BQ67" s="319"/>
      <c r="BR67" s="319"/>
      <c r="BS67" s="323"/>
      <c r="BT67" s="319"/>
      <c r="BU67" s="319"/>
      <c r="BV67" s="319"/>
      <c r="BW67" s="319"/>
      <c r="BX67" s="319"/>
      <c r="BY67" s="319"/>
      <c r="BZ67" s="319"/>
      <c r="CA67" s="319"/>
      <c r="CB67" s="319"/>
      <c r="CC67" s="318"/>
      <c r="CD67" s="323"/>
      <c r="CE67" s="319"/>
      <c r="CF67" s="319"/>
      <c r="CG67" s="319"/>
      <c r="CH67" s="319"/>
      <c r="CI67" s="318"/>
      <c r="CJ67" s="323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8"/>
      <c r="CY67" s="323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</row>
    <row r="68" spans="1:115" x14ac:dyDescent="0.25">
      <c r="A68" s="313" t="s">
        <v>264</v>
      </c>
      <c r="B68" s="323"/>
      <c r="C68" s="319"/>
      <c r="D68" s="318"/>
      <c r="E68" s="318"/>
      <c r="F68" s="326"/>
      <c r="G68" s="326"/>
      <c r="H68" s="323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8"/>
      <c r="Y68" s="323"/>
      <c r="Z68" s="319"/>
      <c r="AA68" s="319"/>
      <c r="AB68" s="319"/>
      <c r="AC68" s="323"/>
      <c r="AD68" s="319"/>
      <c r="AE68" s="319"/>
      <c r="AF68" s="319"/>
      <c r="AG68" s="319"/>
      <c r="AH68" s="319"/>
      <c r="AI68" s="319"/>
      <c r="AJ68" s="319"/>
      <c r="AK68" s="319"/>
      <c r="AL68" s="319"/>
      <c r="AM68" s="318"/>
      <c r="AN68" s="323"/>
      <c r="AO68" s="319"/>
      <c r="AP68" s="319"/>
      <c r="AQ68" s="319"/>
      <c r="AR68" s="319"/>
      <c r="AS68" s="319"/>
      <c r="AT68" s="319"/>
      <c r="AU68" s="318"/>
      <c r="AV68" s="323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23"/>
      <c r="BJ68" s="319"/>
      <c r="BK68" s="319"/>
      <c r="BL68" s="319"/>
      <c r="BM68" s="319"/>
      <c r="BN68" s="319"/>
      <c r="BO68" s="319"/>
      <c r="BP68" s="319"/>
      <c r="BQ68" s="319"/>
      <c r="BR68" s="319"/>
      <c r="BS68" s="323"/>
      <c r="BT68" s="319"/>
      <c r="BU68" s="319"/>
      <c r="BV68" s="319"/>
      <c r="BW68" s="319"/>
      <c r="BX68" s="319"/>
      <c r="BY68" s="319"/>
      <c r="BZ68" s="319"/>
      <c r="CA68" s="319"/>
      <c r="CB68" s="319"/>
      <c r="CC68" s="318"/>
      <c r="CD68" s="323"/>
      <c r="CE68" s="319"/>
      <c r="CF68" s="319"/>
      <c r="CG68" s="319"/>
      <c r="CH68" s="319"/>
      <c r="CI68" s="318"/>
      <c r="CJ68" s="323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8"/>
      <c r="CY68" s="323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</row>
    <row r="69" spans="1:115" x14ac:dyDescent="0.25">
      <c r="A69" s="313" t="s">
        <v>265</v>
      </c>
      <c r="B69" s="323"/>
      <c r="C69" s="319"/>
      <c r="D69" s="318"/>
      <c r="E69" s="318"/>
      <c r="F69" s="326"/>
      <c r="G69" s="326"/>
      <c r="H69" s="323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8"/>
      <c r="Y69" s="323"/>
      <c r="Z69" s="319"/>
      <c r="AA69" s="319"/>
      <c r="AB69" s="319"/>
      <c r="AC69" s="323"/>
      <c r="AD69" s="319"/>
      <c r="AE69" s="319"/>
      <c r="AF69" s="319"/>
      <c r="AG69" s="319"/>
      <c r="AH69" s="319"/>
      <c r="AI69" s="319"/>
      <c r="AJ69" s="319"/>
      <c r="AK69" s="319"/>
      <c r="AL69" s="319"/>
      <c r="AM69" s="318"/>
      <c r="AN69" s="323"/>
      <c r="AO69" s="319"/>
      <c r="AP69" s="319"/>
      <c r="AQ69" s="319"/>
      <c r="AR69" s="319"/>
      <c r="AS69" s="319"/>
      <c r="AT69" s="319"/>
      <c r="AU69" s="318"/>
      <c r="AV69" s="323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23"/>
      <c r="BJ69" s="319"/>
      <c r="BK69" s="319"/>
      <c r="BL69" s="319"/>
      <c r="BM69" s="319"/>
      <c r="BN69" s="319"/>
      <c r="BO69" s="319"/>
      <c r="BP69" s="319"/>
      <c r="BQ69" s="319"/>
      <c r="BR69" s="319"/>
      <c r="BS69" s="323"/>
      <c r="BT69" s="319"/>
      <c r="BU69" s="319"/>
      <c r="BV69" s="319"/>
      <c r="BW69" s="319"/>
      <c r="BX69" s="319"/>
      <c r="BY69" s="319"/>
      <c r="BZ69" s="319"/>
      <c r="CA69" s="319"/>
      <c r="CB69" s="319"/>
      <c r="CC69" s="318"/>
      <c r="CD69" s="323"/>
      <c r="CE69" s="319"/>
      <c r="CF69" s="319"/>
      <c r="CG69" s="319"/>
      <c r="CH69" s="319"/>
      <c r="CI69" s="318"/>
      <c r="CJ69" s="323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8"/>
      <c r="CY69" s="323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</row>
    <row r="70" spans="1:115" ht="15.75" thickBot="1" x14ac:dyDescent="0.3">
      <c r="A70" s="314" t="s">
        <v>266</v>
      </c>
      <c r="B70" s="324"/>
      <c r="C70" s="315"/>
      <c r="D70" s="260"/>
      <c r="E70" s="260"/>
      <c r="F70" s="327"/>
      <c r="G70" s="327"/>
      <c r="H70" s="324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260"/>
      <c r="Y70" s="324"/>
      <c r="Z70" s="315"/>
      <c r="AA70" s="315"/>
      <c r="AB70" s="315"/>
      <c r="AC70" s="324"/>
      <c r="AD70" s="315"/>
      <c r="AE70" s="315"/>
      <c r="AF70" s="315"/>
      <c r="AG70" s="315"/>
      <c r="AH70" s="315"/>
      <c r="AI70" s="315"/>
      <c r="AJ70" s="315"/>
      <c r="AK70" s="315"/>
      <c r="AL70" s="315"/>
      <c r="AM70" s="260"/>
      <c r="AN70" s="324"/>
      <c r="AO70" s="315"/>
      <c r="AP70" s="315"/>
      <c r="AQ70" s="315"/>
      <c r="AR70" s="315"/>
      <c r="AS70" s="315"/>
      <c r="AT70" s="315"/>
      <c r="AU70" s="260"/>
      <c r="AV70" s="324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24"/>
      <c r="BJ70" s="315"/>
      <c r="BK70" s="315"/>
      <c r="BL70" s="315"/>
      <c r="BM70" s="315"/>
      <c r="BN70" s="315"/>
      <c r="BO70" s="315"/>
      <c r="BP70" s="315"/>
      <c r="BQ70" s="315"/>
      <c r="BR70" s="315"/>
      <c r="BS70" s="324"/>
      <c r="BT70" s="315"/>
      <c r="BU70" s="315"/>
      <c r="BV70" s="315"/>
      <c r="BW70" s="315"/>
      <c r="BX70" s="315"/>
      <c r="BY70" s="315"/>
      <c r="BZ70" s="315"/>
      <c r="CA70" s="315"/>
      <c r="CB70" s="315"/>
      <c r="CC70" s="260"/>
      <c r="CD70" s="324"/>
      <c r="CE70" s="315"/>
      <c r="CF70" s="315"/>
      <c r="CG70" s="315"/>
      <c r="CH70" s="315"/>
      <c r="CI70" s="260"/>
      <c r="CJ70" s="324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260"/>
      <c r="CY70" s="324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315"/>
      <c r="DK70" s="315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239"/>
  <sheetViews>
    <sheetView view="pageBreakPreview" zoomScale="80" zoomScaleNormal="80" zoomScaleSheetLayoutView="80" workbookViewId="0">
      <selection activeCell="H222" sqref="H222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799">
        <f>'Parametre - Agendové IS'!G1</f>
        <v>0</v>
      </c>
      <c r="B2" s="800"/>
      <c r="C2" s="801"/>
      <c r="D2" s="805" t="s">
        <v>107</v>
      </c>
      <c r="E2" s="806"/>
      <c r="F2" s="356" t="s">
        <v>170</v>
      </c>
      <c r="G2" s="356" t="s">
        <v>171</v>
      </c>
      <c r="H2" s="356" t="s">
        <v>172</v>
      </c>
      <c r="I2" s="356" t="s">
        <v>174</v>
      </c>
    </row>
    <row r="3" spans="1:9" ht="15.75" thickBot="1" x14ac:dyDescent="0.3">
      <c r="A3" s="802"/>
      <c r="B3" s="803"/>
      <c r="C3" s="804"/>
      <c r="D3" s="576" t="s">
        <v>364</v>
      </c>
      <c r="E3" s="577" t="s">
        <v>173</v>
      </c>
      <c r="F3" s="193" t="s">
        <v>173</v>
      </c>
      <c r="G3" s="193" t="s">
        <v>173</v>
      </c>
      <c r="H3" s="193" t="s">
        <v>173</v>
      </c>
      <c r="I3" s="193" t="s">
        <v>173</v>
      </c>
    </row>
    <row r="4" spans="1:9" ht="15" customHeight="1" x14ac:dyDescent="0.25">
      <c r="A4" s="793" t="s">
        <v>43</v>
      </c>
      <c r="B4" s="796" t="s">
        <v>191</v>
      </c>
      <c r="C4" s="194" t="s">
        <v>25</v>
      </c>
      <c r="D4" s="578" t="str">
        <f>IF(E4='Parametre - Agendové IS'!H87,"OK","Chyba počtu FTE")</f>
        <v>OK</v>
      </c>
      <c r="E4" s="650">
        <f t="shared" ref="E4:E33" si="0">F4+G4+H4+I4</f>
        <v>9.5238095238095247E-2</v>
      </c>
      <c r="F4" s="647">
        <v>9.5238095238095247E-2</v>
      </c>
      <c r="G4" s="259"/>
      <c r="H4" s="259"/>
      <c r="I4" s="259"/>
    </row>
    <row r="5" spans="1:9" x14ac:dyDescent="0.25">
      <c r="A5" s="794"/>
      <c r="B5" s="797"/>
      <c r="C5" s="191" t="s">
        <v>26</v>
      </c>
      <c r="D5" s="580" t="str">
        <f>IF(E5='Parametre - Agendové IS'!H88,"OK","Chyba počtu FTE")</f>
        <v>OK</v>
      </c>
      <c r="E5" s="651">
        <f t="shared" si="0"/>
        <v>9.1269841269841265E-2</v>
      </c>
      <c r="F5" s="648">
        <v>9.1269841269841265E-2</v>
      </c>
      <c r="G5" s="260"/>
      <c r="H5" s="260"/>
      <c r="I5" s="260"/>
    </row>
    <row r="6" spans="1:9" x14ac:dyDescent="0.25">
      <c r="A6" s="794"/>
      <c r="B6" s="797"/>
      <c r="C6" s="191" t="s">
        <v>27</v>
      </c>
      <c r="D6" s="580" t="str">
        <f>IF(E6='Parametre - Agendové IS'!H89,"OK","Chyba počtu FTE")</f>
        <v>OK</v>
      </c>
      <c r="E6" s="651">
        <f t="shared" si="0"/>
        <v>9.1269841269841265E-2</v>
      </c>
      <c r="F6" s="648">
        <v>9.1269841269841265E-2</v>
      </c>
      <c r="G6" s="260"/>
      <c r="H6" s="260"/>
      <c r="I6" s="260"/>
    </row>
    <row r="7" spans="1:9" x14ac:dyDescent="0.25">
      <c r="A7" s="794"/>
      <c r="B7" s="797"/>
      <c r="C7" s="191" t="s">
        <v>28</v>
      </c>
      <c r="D7" s="580" t="str">
        <f>IF(E7='Parametre - Agendové IS'!H90,"OK","Chyba počtu FTE")</f>
        <v>OK</v>
      </c>
      <c r="E7" s="651">
        <f t="shared" si="0"/>
        <v>8.7301587301587297E-2</v>
      </c>
      <c r="F7" s="648">
        <v>8.7301587301587297E-2</v>
      </c>
      <c r="G7" s="260"/>
      <c r="H7" s="260"/>
      <c r="I7" s="260"/>
    </row>
    <row r="8" spans="1:9" x14ac:dyDescent="0.25">
      <c r="A8" s="794"/>
      <c r="B8" s="797"/>
      <c r="C8" s="191" t="s">
        <v>29</v>
      </c>
      <c r="D8" s="580" t="str">
        <f>IF(E8='Parametre - Agendové IS'!H91,"OK","Chyba počtu FTE")</f>
        <v>OK</v>
      </c>
      <c r="E8" s="651">
        <f t="shared" si="0"/>
        <v>8.7301587301587297E-2</v>
      </c>
      <c r="F8" s="648">
        <v>8.7301587301587297E-2</v>
      </c>
      <c r="G8" s="260"/>
      <c r="H8" s="260"/>
      <c r="I8" s="260"/>
    </row>
    <row r="9" spans="1:9" x14ac:dyDescent="0.25">
      <c r="A9" s="794"/>
      <c r="B9" s="797"/>
      <c r="C9" s="191" t="s">
        <v>30</v>
      </c>
      <c r="D9" s="580" t="str">
        <f>IF(E9='Parametre - Agendové IS'!H92,"OK","Chyba počtu FTE")</f>
        <v>OK</v>
      </c>
      <c r="E9" s="651">
        <f t="shared" si="0"/>
        <v>8.0952380952380942E-2</v>
      </c>
      <c r="F9" s="648">
        <v>8.0952380952380942E-2</v>
      </c>
      <c r="G9" s="260"/>
      <c r="H9" s="260"/>
      <c r="I9" s="260"/>
    </row>
    <row r="10" spans="1:9" x14ac:dyDescent="0.25">
      <c r="A10" s="794"/>
      <c r="B10" s="797"/>
      <c r="C10" s="191" t="s">
        <v>31</v>
      </c>
      <c r="D10" s="580" t="str">
        <f>IF(E10='Parametre - Agendové IS'!H93,"OK","Chyba počtu FTE")</f>
        <v>OK</v>
      </c>
      <c r="E10" s="651">
        <f t="shared" si="0"/>
        <v>7.5396825396825393E-2</v>
      </c>
      <c r="F10" s="648">
        <v>7.5396825396825393E-2</v>
      </c>
      <c r="G10" s="260"/>
      <c r="H10" s="260"/>
      <c r="I10" s="260"/>
    </row>
    <row r="11" spans="1:9" x14ac:dyDescent="0.25">
      <c r="A11" s="794"/>
      <c r="B11" s="797"/>
      <c r="C11" s="191" t="s">
        <v>32</v>
      </c>
      <c r="D11" s="580" t="str">
        <f>IF(E11='Parametre - Agendové IS'!H94,"OK","Chyba počtu FTE")</f>
        <v>OK</v>
      </c>
      <c r="E11" s="651">
        <f t="shared" si="0"/>
        <v>7.1428571428571425E-2</v>
      </c>
      <c r="F11" s="648">
        <v>7.1428571428571425E-2</v>
      </c>
      <c r="G11" s="260"/>
      <c r="H11" s="260"/>
      <c r="I11" s="260"/>
    </row>
    <row r="12" spans="1:9" x14ac:dyDescent="0.25">
      <c r="A12" s="794"/>
      <c r="B12" s="797"/>
      <c r="C12" s="191" t="s">
        <v>33</v>
      </c>
      <c r="D12" s="580" t="str">
        <f>IF(E12='Parametre - Agendové IS'!H95,"OK","Chyba počtu FTE")</f>
        <v>OK</v>
      </c>
      <c r="E12" s="651">
        <f t="shared" si="0"/>
        <v>7.1428571428571425E-2</v>
      </c>
      <c r="F12" s="648">
        <v>7.1428571428571425E-2</v>
      </c>
      <c r="G12" s="260"/>
      <c r="H12" s="260"/>
      <c r="I12" s="260"/>
    </row>
    <row r="13" spans="1:9" ht="15.75" thickBot="1" x14ac:dyDescent="0.3">
      <c r="A13" s="794"/>
      <c r="B13" s="797"/>
      <c r="C13" s="191" t="s">
        <v>34</v>
      </c>
      <c r="D13" s="582" t="str">
        <f>IF(E13='Parametre - Agendové IS'!H96,"OK","Chyba počtu FTE")</f>
        <v>OK</v>
      </c>
      <c r="E13" s="652">
        <f t="shared" si="0"/>
        <v>7.1428571428571425E-2</v>
      </c>
      <c r="F13" s="649">
        <v>7.1428571428571425E-2</v>
      </c>
      <c r="G13" s="261"/>
      <c r="H13" s="261"/>
      <c r="I13" s="261"/>
    </row>
    <row r="14" spans="1:9" ht="15" customHeight="1" x14ac:dyDescent="0.25">
      <c r="A14" s="793" t="s">
        <v>41</v>
      </c>
      <c r="B14" s="796" t="s">
        <v>37</v>
      </c>
      <c r="C14" s="194" t="s">
        <v>25</v>
      </c>
      <c r="D14" s="579" t="str">
        <f>IF(E14='Parametre - Agendové IS'!H6,"OK","Chyba počtu podaní")</f>
        <v>OK</v>
      </c>
      <c r="E14" s="584">
        <f t="shared" si="0"/>
        <v>1200</v>
      </c>
      <c r="F14" s="259">
        <v>1200</v>
      </c>
      <c r="G14" s="259"/>
      <c r="H14" s="259"/>
      <c r="I14" s="259"/>
    </row>
    <row r="15" spans="1:9" x14ac:dyDescent="0.25">
      <c r="A15" s="794"/>
      <c r="B15" s="797"/>
      <c r="C15" s="191" t="s">
        <v>26</v>
      </c>
      <c r="D15" s="580" t="str">
        <f>IF(E15='Parametre - Agendové IS'!H7,"OK","Chyba počtu podaní")</f>
        <v>OK</v>
      </c>
      <c r="E15" s="581">
        <f t="shared" si="0"/>
        <v>1150</v>
      </c>
      <c r="F15" s="260">
        <v>1150</v>
      </c>
      <c r="G15" s="260"/>
      <c r="H15" s="260"/>
      <c r="I15" s="260"/>
    </row>
    <row r="16" spans="1:9" x14ac:dyDescent="0.25">
      <c r="A16" s="794"/>
      <c r="B16" s="797"/>
      <c r="C16" s="191" t="s">
        <v>27</v>
      </c>
      <c r="D16" s="580" t="str">
        <f>IF(E16='Parametre - Agendové IS'!H8,"OK","Chyba počtu podaní")</f>
        <v>OK</v>
      </c>
      <c r="E16" s="581">
        <f t="shared" si="0"/>
        <v>1150</v>
      </c>
      <c r="F16" s="260">
        <v>1150</v>
      </c>
      <c r="G16" s="260"/>
      <c r="H16" s="260"/>
      <c r="I16" s="260"/>
    </row>
    <row r="17" spans="1:9" x14ac:dyDescent="0.25">
      <c r="A17" s="794"/>
      <c r="B17" s="797"/>
      <c r="C17" s="191" t="s">
        <v>28</v>
      </c>
      <c r="D17" s="580" t="str">
        <f>IF(E17='Parametre - Agendové IS'!H9,"OK","Chyba počtu podaní")</f>
        <v>OK</v>
      </c>
      <c r="E17" s="581">
        <f t="shared" si="0"/>
        <v>1100</v>
      </c>
      <c r="F17" s="260">
        <v>1100</v>
      </c>
      <c r="G17" s="260"/>
      <c r="H17" s="260"/>
      <c r="I17" s="260"/>
    </row>
    <row r="18" spans="1:9" x14ac:dyDescent="0.25">
      <c r="A18" s="794"/>
      <c r="B18" s="797"/>
      <c r="C18" s="191" t="s">
        <v>29</v>
      </c>
      <c r="D18" s="580" t="str">
        <f>IF(E18='Parametre - Agendové IS'!H10,"OK","Chyba počtu podaní")</f>
        <v>OK</v>
      </c>
      <c r="E18" s="581">
        <f t="shared" si="0"/>
        <v>1100</v>
      </c>
      <c r="F18" s="260">
        <v>1100</v>
      </c>
      <c r="G18" s="260"/>
      <c r="H18" s="260"/>
      <c r="I18" s="260"/>
    </row>
    <row r="19" spans="1:9" x14ac:dyDescent="0.25">
      <c r="A19" s="794"/>
      <c r="B19" s="797"/>
      <c r="C19" s="191" t="s">
        <v>30</v>
      </c>
      <c r="D19" s="580" t="str">
        <f>IF(E19='Parametre - Agendové IS'!H11,"OK","Chyba počtu podaní")</f>
        <v>OK</v>
      </c>
      <c r="E19" s="581">
        <f t="shared" si="0"/>
        <v>1020</v>
      </c>
      <c r="F19" s="260">
        <v>1020</v>
      </c>
      <c r="G19" s="260"/>
      <c r="H19" s="260"/>
      <c r="I19" s="260"/>
    </row>
    <row r="20" spans="1:9" x14ac:dyDescent="0.25">
      <c r="A20" s="794"/>
      <c r="B20" s="797"/>
      <c r="C20" s="191" t="s">
        <v>31</v>
      </c>
      <c r="D20" s="580" t="str">
        <f>IF(E20='Parametre - Agendové IS'!H12,"OK","Chyba počtu podaní")</f>
        <v>OK</v>
      </c>
      <c r="E20" s="581">
        <f t="shared" si="0"/>
        <v>950</v>
      </c>
      <c r="F20" s="260">
        <v>950</v>
      </c>
      <c r="G20" s="260"/>
      <c r="H20" s="260"/>
      <c r="I20" s="260"/>
    </row>
    <row r="21" spans="1:9" x14ac:dyDescent="0.25">
      <c r="A21" s="794"/>
      <c r="B21" s="797"/>
      <c r="C21" s="191" t="s">
        <v>32</v>
      </c>
      <c r="D21" s="580" t="str">
        <f>IF(E21='Parametre - Agendové IS'!H13,"OK","Chyba počtu podaní")</f>
        <v>OK</v>
      </c>
      <c r="E21" s="581">
        <f t="shared" si="0"/>
        <v>900</v>
      </c>
      <c r="F21" s="260">
        <v>900</v>
      </c>
      <c r="G21" s="260"/>
      <c r="H21" s="260"/>
      <c r="I21" s="260"/>
    </row>
    <row r="22" spans="1:9" x14ac:dyDescent="0.25">
      <c r="A22" s="794"/>
      <c r="B22" s="797"/>
      <c r="C22" s="191" t="s">
        <v>33</v>
      </c>
      <c r="D22" s="580" t="str">
        <f>IF(E22='Parametre - Agendové IS'!H14,"OK","Chyba počtu podaní")</f>
        <v>OK</v>
      </c>
      <c r="E22" s="581">
        <f t="shared" si="0"/>
        <v>900</v>
      </c>
      <c r="F22" s="260">
        <v>900</v>
      </c>
      <c r="G22" s="260"/>
      <c r="H22" s="260"/>
      <c r="I22" s="260"/>
    </row>
    <row r="23" spans="1:9" ht="15.75" thickBot="1" x14ac:dyDescent="0.3">
      <c r="A23" s="795"/>
      <c r="B23" s="798"/>
      <c r="C23" s="192" t="s">
        <v>34</v>
      </c>
      <c r="D23" s="580" t="str">
        <f>IF(E23='Parametre - Agendové IS'!H15,"OK","Chyba počtu podaní")</f>
        <v>OK</v>
      </c>
      <c r="E23" s="581">
        <f t="shared" si="0"/>
        <v>900</v>
      </c>
      <c r="F23" s="260">
        <v>900</v>
      </c>
      <c r="G23" s="260"/>
      <c r="H23" s="260"/>
      <c r="I23" s="260"/>
    </row>
    <row r="24" spans="1:9" x14ac:dyDescent="0.25">
      <c r="A24" s="793" t="s">
        <v>39</v>
      </c>
      <c r="B24" s="796" t="s">
        <v>13</v>
      </c>
      <c r="C24" s="194" t="s">
        <v>25</v>
      </c>
      <c r="D24" s="579" t="str">
        <f>IF(E24='Parametre - Agendové IS'!H127,"OK","Chyba")</f>
        <v>OK</v>
      </c>
      <c r="E24" s="584">
        <f t="shared" si="0"/>
        <v>0</v>
      </c>
      <c r="F24" s="259"/>
      <c r="G24" s="259"/>
      <c r="H24" s="259"/>
      <c r="I24" s="259"/>
    </row>
    <row r="25" spans="1:9" x14ac:dyDescent="0.25">
      <c r="A25" s="794"/>
      <c r="B25" s="797"/>
      <c r="C25" s="191" t="s">
        <v>26</v>
      </c>
      <c r="D25" s="580" t="str">
        <f>IF(E25='Parametre - Agendové IS'!H128,"OK","Chyba")</f>
        <v>OK</v>
      </c>
      <c r="E25" s="581">
        <f t="shared" si="0"/>
        <v>0</v>
      </c>
      <c r="F25" s="260"/>
      <c r="G25" s="260"/>
      <c r="H25" s="260"/>
      <c r="I25" s="260"/>
    </row>
    <row r="26" spans="1:9" x14ac:dyDescent="0.25">
      <c r="A26" s="794"/>
      <c r="B26" s="797"/>
      <c r="C26" s="191" t="s">
        <v>27</v>
      </c>
      <c r="D26" s="580" t="str">
        <f>IF(E26='Parametre - Agendové IS'!H129,"OK","Chyba")</f>
        <v>OK</v>
      </c>
      <c r="E26" s="581">
        <f t="shared" si="0"/>
        <v>0</v>
      </c>
      <c r="F26" s="260"/>
      <c r="G26" s="260"/>
      <c r="H26" s="260"/>
      <c r="I26" s="260"/>
    </row>
    <row r="27" spans="1:9" x14ac:dyDescent="0.25">
      <c r="A27" s="794"/>
      <c r="B27" s="797"/>
      <c r="C27" s="191" t="s">
        <v>28</v>
      </c>
      <c r="D27" s="580" t="str">
        <f>IF(E27='Parametre - Agendové IS'!H130,"OK","Chyba")</f>
        <v>OK</v>
      </c>
      <c r="E27" s="581">
        <f t="shared" si="0"/>
        <v>0</v>
      </c>
      <c r="F27" s="260"/>
      <c r="G27" s="260"/>
      <c r="H27" s="260"/>
      <c r="I27" s="260"/>
    </row>
    <row r="28" spans="1:9" x14ac:dyDescent="0.25">
      <c r="A28" s="794"/>
      <c r="B28" s="797"/>
      <c r="C28" s="191" t="s">
        <v>29</v>
      </c>
      <c r="D28" s="580" t="str">
        <f>IF(E28='Parametre - Agendové IS'!H131,"OK","Chyba")</f>
        <v>OK</v>
      </c>
      <c r="E28" s="581">
        <f t="shared" si="0"/>
        <v>0</v>
      </c>
      <c r="F28" s="260"/>
      <c r="G28" s="260"/>
      <c r="H28" s="260"/>
      <c r="I28" s="260"/>
    </row>
    <row r="29" spans="1:9" x14ac:dyDescent="0.25">
      <c r="A29" s="794"/>
      <c r="B29" s="797"/>
      <c r="C29" s="191" t="s">
        <v>30</v>
      </c>
      <c r="D29" s="580" t="str">
        <f>IF(E29='Parametre - Agendové IS'!H132,"OK","Chyba")</f>
        <v>OK</v>
      </c>
      <c r="E29" s="581">
        <f t="shared" si="0"/>
        <v>0</v>
      </c>
      <c r="F29" s="260"/>
      <c r="G29" s="260"/>
      <c r="H29" s="260"/>
      <c r="I29" s="260"/>
    </row>
    <row r="30" spans="1:9" x14ac:dyDescent="0.25">
      <c r="A30" s="794"/>
      <c r="B30" s="797"/>
      <c r="C30" s="191" t="s">
        <v>31</v>
      </c>
      <c r="D30" s="580" t="str">
        <f>IF(E30='Parametre - Agendové IS'!H133,"OK","Chyba")</f>
        <v>OK</v>
      </c>
      <c r="E30" s="581">
        <f t="shared" si="0"/>
        <v>0</v>
      </c>
      <c r="F30" s="260"/>
      <c r="G30" s="260"/>
      <c r="H30" s="260"/>
      <c r="I30" s="260"/>
    </row>
    <row r="31" spans="1:9" x14ac:dyDescent="0.25">
      <c r="A31" s="794"/>
      <c r="B31" s="797"/>
      <c r="C31" s="191" t="s">
        <v>32</v>
      </c>
      <c r="D31" s="580" t="str">
        <f>IF(E31='Parametre - Agendové IS'!H134,"OK","Chyba")</f>
        <v>OK</v>
      </c>
      <c r="E31" s="581">
        <f t="shared" si="0"/>
        <v>0</v>
      </c>
      <c r="F31" s="260"/>
      <c r="G31" s="260"/>
      <c r="H31" s="260"/>
      <c r="I31" s="260"/>
    </row>
    <row r="32" spans="1:9" x14ac:dyDescent="0.25">
      <c r="A32" s="794"/>
      <c r="B32" s="797"/>
      <c r="C32" s="191" t="s">
        <v>33</v>
      </c>
      <c r="D32" s="580" t="str">
        <f>IF(E32='Parametre - Agendové IS'!H135,"OK","Chyba")</f>
        <v>OK</v>
      </c>
      <c r="E32" s="581">
        <f t="shared" si="0"/>
        <v>0</v>
      </c>
      <c r="F32" s="260"/>
      <c r="G32" s="260"/>
      <c r="H32" s="260"/>
      <c r="I32" s="260"/>
    </row>
    <row r="33" spans="1:9" ht="15.75" thickBot="1" x14ac:dyDescent="0.3">
      <c r="A33" s="795"/>
      <c r="B33" s="798"/>
      <c r="C33" s="192" t="s">
        <v>34</v>
      </c>
      <c r="D33" s="580" t="str">
        <f>IF(E33='Parametre - Agendové IS'!H136,"OK","Chyba")</f>
        <v>OK</v>
      </c>
      <c r="E33" s="581">
        <f t="shared" si="0"/>
        <v>0</v>
      </c>
      <c r="F33" s="260"/>
      <c r="G33" s="260"/>
      <c r="H33" s="260"/>
      <c r="I33" s="260"/>
    </row>
    <row r="34" spans="1:9" x14ac:dyDescent="0.25">
      <c r="A34" s="188"/>
      <c r="B34" s="189"/>
      <c r="E34" s="190"/>
    </row>
    <row r="35" spans="1:9" x14ac:dyDescent="0.25">
      <c r="A35" s="188"/>
      <c r="B35" s="189"/>
      <c r="E35" s="190"/>
    </row>
    <row r="36" spans="1:9" ht="15.75" thickBot="1" x14ac:dyDescent="0.3">
      <c r="A36" s="188"/>
      <c r="B36" s="189"/>
      <c r="E36" s="190"/>
    </row>
    <row r="37" spans="1:9" x14ac:dyDescent="0.25">
      <c r="A37" s="799">
        <f>'Parametre - Agendové IS'!J1</f>
        <v>0</v>
      </c>
      <c r="B37" s="800"/>
      <c r="C37" s="801"/>
      <c r="D37" s="805" t="s">
        <v>107</v>
      </c>
      <c r="E37" s="806"/>
      <c r="F37" s="356" t="s">
        <v>170</v>
      </c>
      <c r="G37" s="356" t="s">
        <v>171</v>
      </c>
      <c r="H37" s="356" t="s">
        <v>172</v>
      </c>
      <c r="I37" s="356" t="s">
        <v>174</v>
      </c>
    </row>
    <row r="38" spans="1:9" ht="15.75" thickBot="1" x14ac:dyDescent="0.3">
      <c r="A38" s="802"/>
      <c r="B38" s="803"/>
      <c r="C38" s="804"/>
      <c r="D38" s="576" t="s">
        <v>364</v>
      </c>
      <c r="E38" s="577" t="s">
        <v>173</v>
      </c>
      <c r="F38" s="193" t="s">
        <v>173</v>
      </c>
      <c r="G38" s="193" t="s">
        <v>173</v>
      </c>
      <c r="H38" s="193" t="s">
        <v>173</v>
      </c>
      <c r="I38" s="193" t="s">
        <v>173</v>
      </c>
    </row>
    <row r="39" spans="1:9" x14ac:dyDescent="0.25">
      <c r="A39" s="793" t="s">
        <v>43</v>
      </c>
      <c r="B39" s="796" t="s">
        <v>191</v>
      </c>
      <c r="C39" s="194" t="s">
        <v>25</v>
      </c>
      <c r="D39" s="578" t="str">
        <f>IF(E39='Parametre - Agendové IS'!K87,"OK","Chyba počtu FTE")</f>
        <v>OK</v>
      </c>
      <c r="E39" s="650">
        <f t="shared" ref="E39:E68" si="1">F39+G39+H39+I39</f>
        <v>0.7557936507936508</v>
      </c>
      <c r="F39" s="647">
        <v>0.7557936507936508</v>
      </c>
      <c r="G39" s="259"/>
      <c r="H39" s="259"/>
      <c r="I39" s="259"/>
    </row>
    <row r="40" spans="1:9" x14ac:dyDescent="0.25">
      <c r="A40" s="794"/>
      <c r="B40" s="797"/>
      <c r="C40" s="191" t="s">
        <v>26</v>
      </c>
      <c r="D40" s="580" t="str">
        <f>IF(E40='Parametre - Agendové IS'!K88,"OK","Chyba počtu FTE")</f>
        <v>OK</v>
      </c>
      <c r="E40" s="651">
        <f t="shared" si="1"/>
        <v>0.80158730158730163</v>
      </c>
      <c r="F40" s="648">
        <v>0.80158730158730163</v>
      </c>
      <c r="G40" s="260"/>
      <c r="H40" s="260"/>
      <c r="I40" s="260"/>
    </row>
    <row r="41" spans="1:9" x14ac:dyDescent="0.25">
      <c r="A41" s="794"/>
      <c r="B41" s="797"/>
      <c r="C41" s="191" t="s">
        <v>27</v>
      </c>
      <c r="D41" s="580" t="str">
        <f>IF(E41='Parametre - Agendové IS'!K89,"OK","Chyba počtu FTE")</f>
        <v>OK</v>
      </c>
      <c r="E41" s="651">
        <f t="shared" si="1"/>
        <v>0.82539682539682546</v>
      </c>
      <c r="F41" s="648">
        <v>0.82539682539682546</v>
      </c>
      <c r="G41" s="260"/>
      <c r="H41" s="260"/>
      <c r="I41" s="260"/>
    </row>
    <row r="42" spans="1:9" x14ac:dyDescent="0.25">
      <c r="A42" s="794"/>
      <c r="B42" s="797"/>
      <c r="C42" s="191" t="s">
        <v>28</v>
      </c>
      <c r="D42" s="580" t="str">
        <f>IF(E42='Parametre - Agendové IS'!K90,"OK","Chyba počtu FTE")</f>
        <v>OK</v>
      </c>
      <c r="E42" s="651">
        <f t="shared" si="1"/>
        <v>0.85714285714285721</v>
      </c>
      <c r="F42" s="648">
        <v>0.85714285714285721</v>
      </c>
      <c r="G42" s="260"/>
      <c r="H42" s="260"/>
      <c r="I42" s="260"/>
    </row>
    <row r="43" spans="1:9" x14ac:dyDescent="0.25">
      <c r="A43" s="794"/>
      <c r="B43" s="797"/>
      <c r="C43" s="191" t="s">
        <v>29</v>
      </c>
      <c r="D43" s="580" t="str">
        <f>IF(E43='Parametre - Agendové IS'!K91,"OK","Chyba počtu FTE")</f>
        <v>OK</v>
      </c>
      <c r="E43" s="651">
        <f t="shared" si="1"/>
        <v>0.87301587301587302</v>
      </c>
      <c r="F43" s="648">
        <v>0.87301587301587302</v>
      </c>
      <c r="G43" s="260"/>
      <c r="H43" s="260"/>
      <c r="I43" s="260"/>
    </row>
    <row r="44" spans="1:9" ht="15" customHeight="1" x14ac:dyDescent="0.25">
      <c r="A44" s="794"/>
      <c r="B44" s="797"/>
      <c r="C44" s="191" t="s">
        <v>30</v>
      </c>
      <c r="D44" s="580" t="str">
        <f>IF(E44='Parametre - Agendové IS'!K92,"OK","Chyba počtu FTE")</f>
        <v>OK</v>
      </c>
      <c r="E44" s="651">
        <f t="shared" si="1"/>
        <v>0.88888888888888895</v>
      </c>
      <c r="F44" s="648">
        <v>0.88888888888888895</v>
      </c>
      <c r="G44" s="260"/>
      <c r="H44" s="260"/>
      <c r="I44" s="260"/>
    </row>
    <row r="45" spans="1:9" x14ac:dyDescent="0.25">
      <c r="A45" s="794"/>
      <c r="B45" s="797"/>
      <c r="C45" s="191" t="s">
        <v>31</v>
      </c>
      <c r="D45" s="580" t="str">
        <f>IF(E45='Parametre - Agendové IS'!K93,"OK","Chyba počtu FTE")</f>
        <v>OK</v>
      </c>
      <c r="E45" s="651">
        <f t="shared" si="1"/>
        <v>0.90793650793650793</v>
      </c>
      <c r="F45" s="648">
        <v>0.90793650793650793</v>
      </c>
      <c r="G45" s="260"/>
      <c r="H45" s="260"/>
      <c r="I45" s="260"/>
    </row>
    <row r="46" spans="1:9" x14ac:dyDescent="0.25">
      <c r="A46" s="794"/>
      <c r="B46" s="797"/>
      <c r="C46" s="191" t="s">
        <v>32</v>
      </c>
      <c r="D46" s="580" t="str">
        <f>IF(E46='Parametre - Agendové IS'!K94,"OK","Chyba počtu FTE")</f>
        <v>OK</v>
      </c>
      <c r="E46" s="651">
        <f t="shared" si="1"/>
        <v>0.91269841269841268</v>
      </c>
      <c r="F46" s="648">
        <v>0.91269841269841268</v>
      </c>
      <c r="G46" s="260"/>
      <c r="H46" s="260"/>
      <c r="I46" s="260"/>
    </row>
    <row r="47" spans="1:9" x14ac:dyDescent="0.25">
      <c r="A47" s="794"/>
      <c r="B47" s="797"/>
      <c r="C47" s="191" t="s">
        <v>33</v>
      </c>
      <c r="D47" s="580" t="str">
        <f>IF(E47='Parametre - Agendové IS'!K95,"OK","Chyba počtu FTE")</f>
        <v>OK</v>
      </c>
      <c r="E47" s="651">
        <f t="shared" si="1"/>
        <v>0.92063492063492069</v>
      </c>
      <c r="F47" s="648">
        <v>0.92063492063492069</v>
      </c>
      <c r="G47" s="260"/>
      <c r="H47" s="260"/>
      <c r="I47" s="260"/>
    </row>
    <row r="48" spans="1:9" ht="15.75" thickBot="1" x14ac:dyDescent="0.3">
      <c r="A48" s="794"/>
      <c r="B48" s="797"/>
      <c r="C48" s="191" t="s">
        <v>34</v>
      </c>
      <c r="D48" s="582" t="str">
        <f>IF(E48='Parametre - Agendové IS'!K96,"OK","Chyba počtu FTE")</f>
        <v>OK</v>
      </c>
      <c r="E48" s="652">
        <f t="shared" si="1"/>
        <v>0.9285714285714286</v>
      </c>
      <c r="F48" s="649">
        <v>0.9285714285714286</v>
      </c>
      <c r="G48" s="261"/>
      <c r="H48" s="261"/>
      <c r="I48" s="261"/>
    </row>
    <row r="49" spans="1:9" x14ac:dyDescent="0.25">
      <c r="A49" s="793" t="s">
        <v>41</v>
      </c>
      <c r="B49" s="796" t="s">
        <v>37</v>
      </c>
      <c r="C49" s="194" t="s">
        <v>25</v>
      </c>
      <c r="D49" s="579" t="str">
        <f>IF(E49='Parametre - Agendové IS'!K6,"OK","Chyba počtu podaní")</f>
        <v>OK</v>
      </c>
      <c r="E49" s="584">
        <f t="shared" si="1"/>
        <v>9523</v>
      </c>
      <c r="F49" s="259">
        <v>9523</v>
      </c>
      <c r="G49" s="259"/>
      <c r="H49" s="259"/>
      <c r="I49" s="259"/>
    </row>
    <row r="50" spans="1:9" x14ac:dyDescent="0.25">
      <c r="A50" s="794"/>
      <c r="B50" s="797"/>
      <c r="C50" s="191" t="s">
        <v>26</v>
      </c>
      <c r="D50" s="580" t="str">
        <f>IF(E50='Parametre - Agendové IS'!K7,"OK","Chyba počtu podaní")</f>
        <v>OK</v>
      </c>
      <c r="E50" s="581">
        <f t="shared" si="1"/>
        <v>10100</v>
      </c>
      <c r="F50" s="260">
        <v>10100</v>
      </c>
      <c r="G50" s="260"/>
      <c r="H50" s="260"/>
      <c r="I50" s="260"/>
    </row>
    <row r="51" spans="1:9" x14ac:dyDescent="0.25">
      <c r="A51" s="794"/>
      <c r="B51" s="797"/>
      <c r="C51" s="191" t="s">
        <v>27</v>
      </c>
      <c r="D51" s="580" t="str">
        <f>IF(E51='Parametre - Agendové IS'!K8,"OK","Chyba počtu podaní")</f>
        <v>OK</v>
      </c>
      <c r="E51" s="581">
        <f t="shared" si="1"/>
        <v>10400</v>
      </c>
      <c r="F51" s="260">
        <v>10400</v>
      </c>
      <c r="G51" s="260"/>
      <c r="H51" s="260"/>
      <c r="I51" s="260"/>
    </row>
    <row r="52" spans="1:9" x14ac:dyDescent="0.25">
      <c r="A52" s="794"/>
      <c r="B52" s="797"/>
      <c r="C52" s="191" t="s">
        <v>28</v>
      </c>
      <c r="D52" s="580" t="str">
        <f>IF(E52='Parametre - Agendové IS'!K9,"OK","Chyba počtu podaní")</f>
        <v>OK</v>
      </c>
      <c r="E52" s="581">
        <f t="shared" si="1"/>
        <v>10800</v>
      </c>
      <c r="F52" s="260">
        <v>10800</v>
      </c>
      <c r="G52" s="260"/>
      <c r="H52" s="260"/>
      <c r="I52" s="260"/>
    </row>
    <row r="53" spans="1:9" x14ac:dyDescent="0.25">
      <c r="A53" s="794"/>
      <c r="B53" s="797"/>
      <c r="C53" s="191" t="s">
        <v>29</v>
      </c>
      <c r="D53" s="580" t="str">
        <f>IF(E53='Parametre - Agendové IS'!K10,"OK","Chyba počtu podaní")</f>
        <v>OK</v>
      </c>
      <c r="E53" s="581">
        <f t="shared" si="1"/>
        <v>11000</v>
      </c>
      <c r="F53" s="260">
        <v>11000</v>
      </c>
      <c r="G53" s="260"/>
      <c r="H53" s="260"/>
      <c r="I53" s="260"/>
    </row>
    <row r="54" spans="1:9" x14ac:dyDescent="0.25">
      <c r="A54" s="794"/>
      <c r="B54" s="797"/>
      <c r="C54" s="191" t="s">
        <v>30</v>
      </c>
      <c r="D54" s="580" t="str">
        <f>IF(E54='Parametre - Agendové IS'!K11,"OK","Chyba počtu podaní")</f>
        <v>OK</v>
      </c>
      <c r="E54" s="581">
        <f t="shared" si="1"/>
        <v>11200</v>
      </c>
      <c r="F54" s="260">
        <v>11200</v>
      </c>
      <c r="G54" s="260"/>
      <c r="H54" s="260"/>
      <c r="I54" s="260"/>
    </row>
    <row r="55" spans="1:9" x14ac:dyDescent="0.25">
      <c r="A55" s="794"/>
      <c r="B55" s="797"/>
      <c r="C55" s="191" t="s">
        <v>31</v>
      </c>
      <c r="D55" s="580" t="str">
        <f>IF(E55='Parametre - Agendové IS'!K12,"OK","Chyba počtu podaní")</f>
        <v>OK</v>
      </c>
      <c r="E55" s="581">
        <f t="shared" si="1"/>
        <v>11440</v>
      </c>
      <c r="F55" s="260">
        <v>11440</v>
      </c>
      <c r="G55" s="260"/>
      <c r="H55" s="260"/>
      <c r="I55" s="260"/>
    </row>
    <row r="56" spans="1:9" x14ac:dyDescent="0.25">
      <c r="A56" s="794"/>
      <c r="B56" s="797"/>
      <c r="C56" s="191" t="s">
        <v>32</v>
      </c>
      <c r="D56" s="580" t="str">
        <f>IF(E56='Parametre - Agendové IS'!K13,"OK","Chyba počtu podaní")</f>
        <v>OK</v>
      </c>
      <c r="E56" s="581">
        <f t="shared" si="1"/>
        <v>11500</v>
      </c>
      <c r="F56" s="260">
        <v>11500</v>
      </c>
      <c r="G56" s="260"/>
      <c r="H56" s="260"/>
      <c r="I56" s="260"/>
    </row>
    <row r="57" spans="1:9" x14ac:dyDescent="0.25">
      <c r="A57" s="794"/>
      <c r="B57" s="797"/>
      <c r="C57" s="191" t="s">
        <v>33</v>
      </c>
      <c r="D57" s="580" t="str">
        <f>IF(E57='Parametre - Agendové IS'!K14,"OK","Chyba počtu podaní")</f>
        <v>OK</v>
      </c>
      <c r="E57" s="581">
        <f t="shared" si="1"/>
        <v>11600</v>
      </c>
      <c r="F57" s="260">
        <v>11600</v>
      </c>
      <c r="G57" s="260"/>
      <c r="H57" s="260"/>
      <c r="I57" s="260"/>
    </row>
    <row r="58" spans="1:9" ht="15.75" thickBot="1" x14ac:dyDescent="0.3">
      <c r="A58" s="795"/>
      <c r="B58" s="798"/>
      <c r="C58" s="192" t="s">
        <v>34</v>
      </c>
      <c r="D58" s="580" t="str">
        <f>IF(E58='Parametre - Agendové IS'!K15,"OK","Chyba počtu podaní")</f>
        <v>OK</v>
      </c>
      <c r="E58" s="581">
        <f t="shared" si="1"/>
        <v>11700</v>
      </c>
      <c r="F58" s="260">
        <v>11700</v>
      </c>
      <c r="G58" s="260"/>
      <c r="H58" s="260"/>
      <c r="I58" s="260"/>
    </row>
    <row r="59" spans="1:9" x14ac:dyDescent="0.25">
      <c r="A59" s="793" t="s">
        <v>39</v>
      </c>
      <c r="B59" s="796" t="s">
        <v>13</v>
      </c>
      <c r="C59" s="194" t="s">
        <v>25</v>
      </c>
      <c r="D59" s="579" t="str">
        <f>IF(E59='Parametre - Agendové IS'!K127,"OK","Chyba")</f>
        <v>OK</v>
      </c>
      <c r="E59" s="584">
        <f t="shared" si="1"/>
        <v>0</v>
      </c>
      <c r="F59" s="259"/>
      <c r="G59" s="259"/>
      <c r="H59" s="259"/>
      <c r="I59" s="259"/>
    </row>
    <row r="60" spans="1:9" x14ac:dyDescent="0.25">
      <c r="A60" s="794"/>
      <c r="B60" s="797"/>
      <c r="C60" s="191" t="s">
        <v>26</v>
      </c>
      <c r="D60" s="580" t="str">
        <f>IF(E60='Parametre - Agendové IS'!K128,"OK","Chyba")</f>
        <v>OK</v>
      </c>
      <c r="E60" s="581">
        <f t="shared" si="1"/>
        <v>0</v>
      </c>
      <c r="F60" s="260"/>
      <c r="G60" s="260"/>
      <c r="H60" s="260"/>
      <c r="I60" s="260"/>
    </row>
    <row r="61" spans="1:9" x14ac:dyDescent="0.25">
      <c r="A61" s="794"/>
      <c r="B61" s="797"/>
      <c r="C61" s="191" t="s">
        <v>27</v>
      </c>
      <c r="D61" s="580" t="str">
        <f>IF(E61='Parametre - Agendové IS'!K129,"OK","Chyba")</f>
        <v>OK</v>
      </c>
      <c r="E61" s="581">
        <f t="shared" si="1"/>
        <v>0</v>
      </c>
      <c r="F61" s="260"/>
      <c r="G61" s="260"/>
      <c r="H61" s="260"/>
      <c r="I61" s="260"/>
    </row>
    <row r="62" spans="1:9" x14ac:dyDescent="0.25">
      <c r="A62" s="794"/>
      <c r="B62" s="797"/>
      <c r="C62" s="191" t="s">
        <v>28</v>
      </c>
      <c r="D62" s="580" t="str">
        <f>IF(E62='Parametre - Agendové IS'!K130,"OK","Chyba")</f>
        <v>OK</v>
      </c>
      <c r="E62" s="581">
        <f t="shared" si="1"/>
        <v>0</v>
      </c>
      <c r="F62" s="260"/>
      <c r="G62" s="260"/>
      <c r="H62" s="260"/>
      <c r="I62" s="260"/>
    </row>
    <row r="63" spans="1:9" x14ac:dyDescent="0.25">
      <c r="A63" s="794"/>
      <c r="B63" s="797"/>
      <c r="C63" s="191" t="s">
        <v>29</v>
      </c>
      <c r="D63" s="580" t="str">
        <f>IF(E63='Parametre - Agendové IS'!K131,"OK","Chyba")</f>
        <v>OK</v>
      </c>
      <c r="E63" s="581">
        <f t="shared" si="1"/>
        <v>0</v>
      </c>
      <c r="F63" s="260"/>
      <c r="G63" s="260"/>
      <c r="H63" s="260"/>
      <c r="I63" s="260"/>
    </row>
    <row r="64" spans="1:9" x14ac:dyDescent="0.25">
      <c r="A64" s="794"/>
      <c r="B64" s="797"/>
      <c r="C64" s="191" t="s">
        <v>30</v>
      </c>
      <c r="D64" s="580" t="str">
        <f>IF(E64='Parametre - Agendové IS'!K132,"OK","Chyba")</f>
        <v>OK</v>
      </c>
      <c r="E64" s="581">
        <f t="shared" si="1"/>
        <v>0</v>
      </c>
      <c r="F64" s="260"/>
      <c r="G64" s="260"/>
      <c r="H64" s="260"/>
      <c r="I64" s="260"/>
    </row>
    <row r="65" spans="1:9" x14ac:dyDescent="0.25">
      <c r="A65" s="794"/>
      <c r="B65" s="797"/>
      <c r="C65" s="191" t="s">
        <v>31</v>
      </c>
      <c r="D65" s="580" t="str">
        <f>IF(E65='Parametre - Agendové IS'!K133,"OK","Chyba")</f>
        <v>OK</v>
      </c>
      <c r="E65" s="581">
        <f t="shared" si="1"/>
        <v>0</v>
      </c>
      <c r="F65" s="260"/>
      <c r="G65" s="260"/>
      <c r="H65" s="260"/>
      <c r="I65" s="260"/>
    </row>
    <row r="66" spans="1:9" x14ac:dyDescent="0.25">
      <c r="A66" s="794"/>
      <c r="B66" s="797"/>
      <c r="C66" s="191" t="s">
        <v>32</v>
      </c>
      <c r="D66" s="580" t="str">
        <f>IF(E66='Parametre - Agendové IS'!K134,"OK","Chyba")</f>
        <v>OK</v>
      </c>
      <c r="E66" s="581">
        <f t="shared" si="1"/>
        <v>0</v>
      </c>
      <c r="F66" s="260"/>
      <c r="G66" s="260"/>
      <c r="H66" s="260"/>
      <c r="I66" s="260"/>
    </row>
    <row r="67" spans="1:9" x14ac:dyDescent="0.25">
      <c r="A67" s="794"/>
      <c r="B67" s="797"/>
      <c r="C67" s="191" t="s">
        <v>33</v>
      </c>
      <c r="D67" s="580" t="str">
        <f>IF(E67='Parametre - Agendové IS'!K135,"OK","Chyba")</f>
        <v>OK</v>
      </c>
      <c r="E67" s="581">
        <f t="shared" si="1"/>
        <v>0</v>
      </c>
      <c r="F67" s="260"/>
      <c r="G67" s="260"/>
      <c r="H67" s="260"/>
      <c r="I67" s="260"/>
    </row>
    <row r="68" spans="1:9" ht="15.75" thickBot="1" x14ac:dyDescent="0.3">
      <c r="A68" s="795"/>
      <c r="B68" s="798"/>
      <c r="C68" s="192" t="s">
        <v>34</v>
      </c>
      <c r="D68" s="580" t="str">
        <f>IF(E68='Parametre - Agendové IS'!K136,"OK","Chyba")</f>
        <v>OK</v>
      </c>
      <c r="E68" s="581">
        <f t="shared" si="1"/>
        <v>0</v>
      </c>
      <c r="F68" s="260"/>
      <c r="G68" s="260"/>
      <c r="H68" s="260"/>
      <c r="I68" s="260"/>
    </row>
    <row r="71" spans="1:9" ht="15.75" thickBot="1" x14ac:dyDescent="0.3"/>
    <row r="72" spans="1:9" x14ac:dyDescent="0.25">
      <c r="A72" s="799">
        <f>'Parametre - Agendové IS'!M1</f>
        <v>0</v>
      </c>
      <c r="B72" s="800"/>
      <c r="C72" s="801"/>
      <c r="D72" s="805" t="s">
        <v>107</v>
      </c>
      <c r="E72" s="806"/>
      <c r="F72" s="356" t="s">
        <v>170</v>
      </c>
      <c r="G72" s="356" t="s">
        <v>171</v>
      </c>
      <c r="H72" s="356" t="s">
        <v>172</v>
      </c>
      <c r="I72" s="356" t="s">
        <v>174</v>
      </c>
    </row>
    <row r="73" spans="1:9" ht="15.75" thickBot="1" x14ac:dyDescent="0.3">
      <c r="A73" s="802"/>
      <c r="B73" s="803"/>
      <c r="C73" s="804"/>
      <c r="D73" s="576" t="s">
        <v>364</v>
      </c>
      <c r="E73" s="577" t="s">
        <v>173</v>
      </c>
      <c r="F73" s="193" t="s">
        <v>173</v>
      </c>
      <c r="G73" s="193" t="s">
        <v>173</v>
      </c>
      <c r="H73" s="193" t="s">
        <v>173</v>
      </c>
      <c r="I73" s="193" t="s">
        <v>173</v>
      </c>
    </row>
    <row r="74" spans="1:9" x14ac:dyDescent="0.25">
      <c r="A74" s="793" t="s">
        <v>43</v>
      </c>
      <c r="B74" s="796" t="s">
        <v>191</v>
      </c>
      <c r="C74" s="194" t="s">
        <v>25</v>
      </c>
      <c r="D74" s="578" t="str">
        <f>IF(E74='Parametre - Agendové IS'!N87,"OK","Chyba počtu FTE")</f>
        <v>OK</v>
      </c>
      <c r="E74" s="650">
        <f t="shared" ref="E74:E103" si="2">F74+G74+H74+I74</f>
        <v>3.8015873015873017E-2</v>
      </c>
      <c r="F74" s="647">
        <v>3.8015873015873017E-2</v>
      </c>
      <c r="G74" s="259"/>
      <c r="H74" s="259"/>
      <c r="I74" s="259"/>
    </row>
    <row r="75" spans="1:9" x14ac:dyDescent="0.25">
      <c r="A75" s="794"/>
      <c r="B75" s="797"/>
      <c r="C75" s="191" t="s">
        <v>26</v>
      </c>
      <c r="D75" s="580" t="str">
        <f>IF(E75='Parametre - Agendové IS'!N88,"OK","Chyba počtu FTE")</f>
        <v>OK</v>
      </c>
      <c r="E75" s="651">
        <f t="shared" si="2"/>
        <v>3.7301587301587301E-2</v>
      </c>
      <c r="F75" s="648">
        <v>3.7301587301587301E-2</v>
      </c>
      <c r="G75" s="260"/>
      <c r="H75" s="260"/>
      <c r="I75" s="260"/>
    </row>
    <row r="76" spans="1:9" x14ac:dyDescent="0.25">
      <c r="A76" s="794"/>
      <c r="B76" s="797"/>
      <c r="C76" s="191" t="s">
        <v>27</v>
      </c>
      <c r="D76" s="580" t="str">
        <f>IF(E76='Parametre - Agendové IS'!N89,"OK","Chyba počtu FTE")</f>
        <v>OK</v>
      </c>
      <c r="E76" s="651">
        <f t="shared" si="2"/>
        <v>3.650793650793651E-2</v>
      </c>
      <c r="F76" s="648">
        <v>3.650793650793651E-2</v>
      </c>
      <c r="G76" s="260"/>
      <c r="H76" s="260"/>
      <c r="I76" s="260"/>
    </row>
    <row r="77" spans="1:9" x14ac:dyDescent="0.25">
      <c r="A77" s="794"/>
      <c r="B77" s="797"/>
      <c r="C77" s="191" t="s">
        <v>28</v>
      </c>
      <c r="D77" s="580" t="str">
        <f>IF(E77='Parametre - Agendové IS'!N90,"OK","Chyba počtu FTE")</f>
        <v>OK</v>
      </c>
      <c r="E77" s="651">
        <f t="shared" si="2"/>
        <v>3.5714285714285712E-2</v>
      </c>
      <c r="F77" s="648">
        <v>3.5714285714285712E-2</v>
      </c>
      <c r="G77" s="260"/>
      <c r="H77" s="260"/>
      <c r="I77" s="260"/>
    </row>
    <row r="78" spans="1:9" x14ac:dyDescent="0.25">
      <c r="A78" s="794"/>
      <c r="B78" s="797"/>
      <c r="C78" s="191" t="s">
        <v>29</v>
      </c>
      <c r="D78" s="580" t="str">
        <f>IF(E78='Parametre - Agendové IS'!N91,"OK","Chyba počtu FTE")</f>
        <v>OK</v>
      </c>
      <c r="E78" s="651">
        <f t="shared" si="2"/>
        <v>3.5714285714285712E-2</v>
      </c>
      <c r="F78" s="648">
        <v>3.5714285714285712E-2</v>
      </c>
      <c r="G78" s="260"/>
      <c r="H78" s="260"/>
      <c r="I78" s="260"/>
    </row>
    <row r="79" spans="1:9" x14ac:dyDescent="0.25">
      <c r="A79" s="794"/>
      <c r="B79" s="797"/>
      <c r="C79" s="191" t="s">
        <v>30</v>
      </c>
      <c r="D79" s="580" t="str">
        <f>IF(E79='Parametre - Agendové IS'!N92,"OK","Chyba počtu FTE")</f>
        <v>OK</v>
      </c>
      <c r="E79" s="651">
        <f t="shared" si="2"/>
        <v>3.4126984126984124E-2</v>
      </c>
      <c r="F79" s="648">
        <v>3.4126984126984124E-2</v>
      </c>
      <c r="G79" s="260"/>
      <c r="H79" s="260"/>
      <c r="I79" s="260"/>
    </row>
    <row r="80" spans="1:9" x14ac:dyDescent="0.25">
      <c r="A80" s="794"/>
      <c r="B80" s="797"/>
      <c r="C80" s="191" t="s">
        <v>31</v>
      </c>
      <c r="D80" s="580" t="str">
        <f>IF(E80='Parametre - Agendové IS'!N93,"OK","Chyba počtu FTE")</f>
        <v>OK</v>
      </c>
      <c r="E80" s="651">
        <f t="shared" si="2"/>
        <v>3.4126984126984124E-2</v>
      </c>
      <c r="F80" s="648">
        <v>3.4126984126984124E-2</v>
      </c>
      <c r="G80" s="260"/>
      <c r="H80" s="260"/>
      <c r="I80" s="260"/>
    </row>
    <row r="81" spans="1:9" x14ac:dyDescent="0.25">
      <c r="A81" s="794"/>
      <c r="B81" s="797"/>
      <c r="C81" s="191" t="s">
        <v>32</v>
      </c>
      <c r="D81" s="580" t="str">
        <f>IF(E81='Parametre - Agendové IS'!N94,"OK","Chyba počtu FTE")</f>
        <v>OK</v>
      </c>
      <c r="E81" s="651">
        <f t="shared" si="2"/>
        <v>3.3333333333333333E-2</v>
      </c>
      <c r="F81" s="648">
        <v>3.3333333333333333E-2</v>
      </c>
      <c r="G81" s="260"/>
      <c r="H81" s="260"/>
      <c r="I81" s="260"/>
    </row>
    <row r="82" spans="1:9" x14ac:dyDescent="0.25">
      <c r="A82" s="794"/>
      <c r="B82" s="797"/>
      <c r="C82" s="191" t="s">
        <v>33</v>
      </c>
      <c r="D82" s="580" t="str">
        <f>IF(E82='Parametre - Agendové IS'!N95,"OK","Chyba počtu FTE")</f>
        <v>OK</v>
      </c>
      <c r="E82" s="651">
        <f t="shared" si="2"/>
        <v>3.3333333333333333E-2</v>
      </c>
      <c r="F82" s="648">
        <v>3.3333333333333333E-2</v>
      </c>
      <c r="G82" s="260"/>
      <c r="H82" s="260"/>
      <c r="I82" s="260"/>
    </row>
    <row r="83" spans="1:9" ht="15.75" thickBot="1" x14ac:dyDescent="0.3">
      <c r="A83" s="794"/>
      <c r="B83" s="797"/>
      <c r="C83" s="191" t="s">
        <v>34</v>
      </c>
      <c r="D83" s="582" t="str">
        <f>IF(E83='Parametre - Agendové IS'!N96,"OK","Chyba počtu FTE")</f>
        <v>OK</v>
      </c>
      <c r="E83" s="652">
        <f t="shared" si="2"/>
        <v>3.3333333333333333E-2</v>
      </c>
      <c r="F83" s="649">
        <v>3.3333333333333333E-2</v>
      </c>
      <c r="G83" s="261"/>
      <c r="H83" s="261"/>
      <c r="I83" s="261"/>
    </row>
    <row r="84" spans="1:9" x14ac:dyDescent="0.25">
      <c r="A84" s="793" t="s">
        <v>41</v>
      </c>
      <c r="B84" s="796" t="s">
        <v>37</v>
      </c>
      <c r="C84" s="194" t="s">
        <v>25</v>
      </c>
      <c r="D84" s="579" t="str">
        <f>IF(E84='Parametre - Agendové IS'!N6,"OK","Chyba počtu podaní")</f>
        <v>OK</v>
      </c>
      <c r="E84" s="584">
        <f t="shared" si="2"/>
        <v>479</v>
      </c>
      <c r="F84" s="259">
        <v>479</v>
      </c>
      <c r="G84" s="259"/>
      <c r="H84" s="259"/>
      <c r="I84" s="259"/>
    </row>
    <row r="85" spans="1:9" x14ac:dyDescent="0.25">
      <c r="A85" s="794"/>
      <c r="B85" s="797"/>
      <c r="C85" s="191" t="s">
        <v>26</v>
      </c>
      <c r="D85" s="580" t="str">
        <f>IF(E85='Parametre - Agendové IS'!N7,"OK","Chyba počtu podaní")</f>
        <v>OK</v>
      </c>
      <c r="E85" s="581">
        <f t="shared" si="2"/>
        <v>470</v>
      </c>
      <c r="F85" s="260">
        <v>470</v>
      </c>
      <c r="G85" s="260"/>
      <c r="H85" s="260"/>
      <c r="I85" s="260"/>
    </row>
    <row r="86" spans="1:9" x14ac:dyDescent="0.25">
      <c r="A86" s="794"/>
      <c r="B86" s="797"/>
      <c r="C86" s="191" t="s">
        <v>27</v>
      </c>
      <c r="D86" s="580" t="str">
        <f>IF(E86='Parametre - Agendové IS'!N8,"OK","Chyba počtu podaní")</f>
        <v>OK</v>
      </c>
      <c r="E86" s="581">
        <f t="shared" si="2"/>
        <v>460</v>
      </c>
      <c r="F86" s="260">
        <v>460</v>
      </c>
      <c r="G86" s="260"/>
      <c r="H86" s="260"/>
      <c r="I86" s="260"/>
    </row>
    <row r="87" spans="1:9" x14ac:dyDescent="0.25">
      <c r="A87" s="794"/>
      <c r="B87" s="797"/>
      <c r="C87" s="191" t="s">
        <v>28</v>
      </c>
      <c r="D87" s="580" t="str">
        <f>IF(E87='Parametre - Agendové IS'!N9,"OK","Chyba počtu podaní")</f>
        <v>OK</v>
      </c>
      <c r="E87" s="581">
        <f t="shared" si="2"/>
        <v>450</v>
      </c>
      <c r="F87" s="260">
        <v>450</v>
      </c>
      <c r="G87" s="260"/>
      <c r="H87" s="260"/>
      <c r="I87" s="260"/>
    </row>
    <row r="88" spans="1:9" x14ac:dyDescent="0.25">
      <c r="A88" s="794"/>
      <c r="B88" s="797"/>
      <c r="C88" s="191" t="s">
        <v>29</v>
      </c>
      <c r="D88" s="580" t="str">
        <f>IF(E88='Parametre - Agendové IS'!N10,"OK","Chyba počtu podaní")</f>
        <v>OK</v>
      </c>
      <c r="E88" s="581">
        <f t="shared" si="2"/>
        <v>450</v>
      </c>
      <c r="F88" s="260">
        <v>450</v>
      </c>
      <c r="G88" s="260"/>
      <c r="H88" s="260"/>
      <c r="I88" s="260"/>
    </row>
    <row r="89" spans="1:9" x14ac:dyDescent="0.25">
      <c r="A89" s="794"/>
      <c r="B89" s="797"/>
      <c r="C89" s="191" t="s">
        <v>30</v>
      </c>
      <c r="D89" s="580" t="str">
        <f>IF(E89='Parametre - Agendové IS'!N11,"OK","Chyba počtu podaní")</f>
        <v>OK</v>
      </c>
      <c r="E89" s="581">
        <f t="shared" si="2"/>
        <v>430</v>
      </c>
      <c r="F89" s="260">
        <v>430</v>
      </c>
      <c r="G89" s="260"/>
      <c r="H89" s="260"/>
      <c r="I89" s="260"/>
    </row>
    <row r="90" spans="1:9" x14ac:dyDescent="0.25">
      <c r="A90" s="794"/>
      <c r="B90" s="797"/>
      <c r="C90" s="191" t="s">
        <v>31</v>
      </c>
      <c r="D90" s="580" t="str">
        <f>IF(E90='Parametre - Agendové IS'!N12,"OK","Chyba počtu podaní")</f>
        <v>OK</v>
      </c>
      <c r="E90" s="581">
        <f t="shared" si="2"/>
        <v>430</v>
      </c>
      <c r="F90" s="260">
        <v>430</v>
      </c>
      <c r="G90" s="260"/>
      <c r="H90" s="260"/>
      <c r="I90" s="260"/>
    </row>
    <row r="91" spans="1:9" x14ac:dyDescent="0.25">
      <c r="A91" s="794"/>
      <c r="B91" s="797"/>
      <c r="C91" s="191" t="s">
        <v>32</v>
      </c>
      <c r="D91" s="580" t="str">
        <f>IF(E91='Parametre - Agendové IS'!N13,"OK","Chyba počtu podaní")</f>
        <v>OK</v>
      </c>
      <c r="E91" s="581">
        <f t="shared" si="2"/>
        <v>420</v>
      </c>
      <c r="F91" s="260">
        <v>420</v>
      </c>
      <c r="G91" s="260"/>
      <c r="H91" s="260"/>
      <c r="I91" s="260"/>
    </row>
    <row r="92" spans="1:9" x14ac:dyDescent="0.25">
      <c r="A92" s="794"/>
      <c r="B92" s="797"/>
      <c r="C92" s="191" t="s">
        <v>33</v>
      </c>
      <c r="D92" s="580" t="str">
        <f>IF(E92='Parametre - Agendové IS'!N14,"OK","Chyba počtu podaní")</f>
        <v>OK</v>
      </c>
      <c r="E92" s="581">
        <f t="shared" si="2"/>
        <v>420</v>
      </c>
      <c r="F92" s="260">
        <v>420</v>
      </c>
      <c r="G92" s="260"/>
      <c r="H92" s="260"/>
      <c r="I92" s="260"/>
    </row>
    <row r="93" spans="1:9" ht="15.75" thickBot="1" x14ac:dyDescent="0.3">
      <c r="A93" s="795"/>
      <c r="B93" s="798"/>
      <c r="C93" s="192" t="s">
        <v>34</v>
      </c>
      <c r="D93" s="580" t="str">
        <f>IF(E93='Parametre - Agendové IS'!N15,"OK","Chyba počtu podaní")</f>
        <v>OK</v>
      </c>
      <c r="E93" s="581">
        <f t="shared" si="2"/>
        <v>420</v>
      </c>
      <c r="F93" s="260">
        <v>420</v>
      </c>
      <c r="G93" s="260"/>
      <c r="H93" s="260"/>
      <c r="I93" s="260"/>
    </row>
    <row r="94" spans="1:9" x14ac:dyDescent="0.25">
      <c r="A94" s="793" t="s">
        <v>39</v>
      </c>
      <c r="B94" s="796" t="s">
        <v>13</v>
      </c>
      <c r="C94" s="194" t="s">
        <v>25</v>
      </c>
      <c r="D94" s="579" t="str">
        <f>IF(E94='Parametre - Agendové IS'!N127,"OK","Chyba")</f>
        <v>OK</v>
      </c>
      <c r="E94" s="584">
        <f t="shared" si="2"/>
        <v>0</v>
      </c>
      <c r="F94" s="259"/>
      <c r="G94" s="259"/>
      <c r="H94" s="259"/>
      <c r="I94" s="259"/>
    </row>
    <row r="95" spans="1:9" x14ac:dyDescent="0.25">
      <c r="A95" s="794"/>
      <c r="B95" s="797"/>
      <c r="C95" s="191" t="s">
        <v>26</v>
      </c>
      <c r="D95" s="580" t="str">
        <f>IF(E95='Parametre - Agendové IS'!N128,"OK","Chyba")</f>
        <v>OK</v>
      </c>
      <c r="E95" s="581">
        <f t="shared" si="2"/>
        <v>0</v>
      </c>
      <c r="F95" s="260"/>
      <c r="G95" s="260"/>
      <c r="H95" s="260"/>
      <c r="I95" s="260"/>
    </row>
    <row r="96" spans="1:9" x14ac:dyDescent="0.25">
      <c r="A96" s="794"/>
      <c r="B96" s="797"/>
      <c r="C96" s="191" t="s">
        <v>27</v>
      </c>
      <c r="D96" s="580" t="str">
        <f>IF(E96='Parametre - Agendové IS'!N129,"OK","Chyba")</f>
        <v>OK</v>
      </c>
      <c r="E96" s="581">
        <f t="shared" si="2"/>
        <v>0</v>
      </c>
      <c r="F96" s="260"/>
      <c r="G96" s="260"/>
      <c r="H96" s="260"/>
      <c r="I96" s="260"/>
    </row>
    <row r="97" spans="1:9" x14ac:dyDescent="0.25">
      <c r="A97" s="794"/>
      <c r="B97" s="797"/>
      <c r="C97" s="191" t="s">
        <v>28</v>
      </c>
      <c r="D97" s="580" t="str">
        <f>IF(E97='Parametre - Agendové IS'!N130,"OK","Chyba")</f>
        <v>OK</v>
      </c>
      <c r="E97" s="581">
        <f t="shared" si="2"/>
        <v>0</v>
      </c>
      <c r="F97" s="260"/>
      <c r="G97" s="260"/>
      <c r="H97" s="260"/>
      <c r="I97" s="260"/>
    </row>
    <row r="98" spans="1:9" x14ac:dyDescent="0.25">
      <c r="A98" s="794"/>
      <c r="B98" s="797"/>
      <c r="C98" s="191" t="s">
        <v>29</v>
      </c>
      <c r="D98" s="580" t="str">
        <f>IF(E98='Parametre - Agendové IS'!N131,"OK","Chyba")</f>
        <v>OK</v>
      </c>
      <c r="E98" s="581">
        <f t="shared" si="2"/>
        <v>0</v>
      </c>
      <c r="F98" s="260"/>
      <c r="G98" s="260"/>
      <c r="H98" s="260"/>
      <c r="I98" s="260"/>
    </row>
    <row r="99" spans="1:9" x14ac:dyDescent="0.25">
      <c r="A99" s="794"/>
      <c r="B99" s="797"/>
      <c r="C99" s="191" t="s">
        <v>30</v>
      </c>
      <c r="D99" s="580" t="str">
        <f>IF(E99='Parametre - Agendové IS'!N132,"OK","Chyba")</f>
        <v>OK</v>
      </c>
      <c r="E99" s="581">
        <f t="shared" si="2"/>
        <v>0</v>
      </c>
      <c r="F99" s="260"/>
      <c r="G99" s="260"/>
      <c r="H99" s="260"/>
      <c r="I99" s="260"/>
    </row>
    <row r="100" spans="1:9" x14ac:dyDescent="0.25">
      <c r="A100" s="794"/>
      <c r="B100" s="797"/>
      <c r="C100" s="191" t="s">
        <v>31</v>
      </c>
      <c r="D100" s="580" t="str">
        <f>IF(E100='Parametre - Agendové IS'!N133,"OK","Chyba")</f>
        <v>OK</v>
      </c>
      <c r="E100" s="581">
        <f t="shared" si="2"/>
        <v>0</v>
      </c>
      <c r="F100" s="260"/>
      <c r="G100" s="260"/>
      <c r="H100" s="260"/>
      <c r="I100" s="260"/>
    </row>
    <row r="101" spans="1:9" x14ac:dyDescent="0.25">
      <c r="A101" s="794"/>
      <c r="B101" s="797"/>
      <c r="C101" s="191" t="s">
        <v>32</v>
      </c>
      <c r="D101" s="580" t="str">
        <f>IF(E101='Parametre - Agendové IS'!N134,"OK","Chyba")</f>
        <v>OK</v>
      </c>
      <c r="E101" s="581">
        <f t="shared" si="2"/>
        <v>0</v>
      </c>
      <c r="F101" s="260"/>
      <c r="G101" s="260"/>
      <c r="H101" s="260"/>
      <c r="I101" s="260"/>
    </row>
    <row r="102" spans="1:9" x14ac:dyDescent="0.25">
      <c r="A102" s="794"/>
      <c r="B102" s="797"/>
      <c r="C102" s="191" t="s">
        <v>33</v>
      </c>
      <c r="D102" s="580" t="str">
        <f>IF(E102='Parametre - Agendové IS'!N135,"OK","Chyba")</f>
        <v>OK</v>
      </c>
      <c r="E102" s="581">
        <f t="shared" si="2"/>
        <v>0</v>
      </c>
      <c r="F102" s="260"/>
      <c r="G102" s="260"/>
      <c r="H102" s="260"/>
      <c r="I102" s="260"/>
    </row>
    <row r="103" spans="1:9" ht="15.75" thickBot="1" x14ac:dyDescent="0.3">
      <c r="A103" s="795"/>
      <c r="B103" s="798"/>
      <c r="C103" s="192" t="s">
        <v>34</v>
      </c>
      <c r="D103" s="580" t="str">
        <f>IF(E103='Parametre - Agendové IS'!N136,"OK","Chyba")</f>
        <v>OK</v>
      </c>
      <c r="E103" s="581">
        <f t="shared" si="2"/>
        <v>0</v>
      </c>
      <c r="F103" s="260"/>
      <c r="G103" s="260"/>
      <c r="H103" s="260"/>
      <c r="I103" s="260"/>
    </row>
    <row r="106" spans="1:9" ht="15.75" thickBot="1" x14ac:dyDescent="0.3"/>
    <row r="107" spans="1:9" x14ac:dyDescent="0.25">
      <c r="A107" s="799">
        <f>'Parametre - Agendové IS'!P1</f>
        <v>0</v>
      </c>
      <c r="B107" s="800"/>
      <c r="C107" s="801"/>
      <c r="D107" s="805" t="s">
        <v>107</v>
      </c>
      <c r="E107" s="806"/>
      <c r="F107" s="356" t="s">
        <v>170</v>
      </c>
      <c r="G107" s="356" t="s">
        <v>171</v>
      </c>
      <c r="H107" s="356" t="s">
        <v>172</v>
      </c>
      <c r="I107" s="356" t="s">
        <v>174</v>
      </c>
    </row>
    <row r="108" spans="1:9" ht="15.75" thickBot="1" x14ac:dyDescent="0.3">
      <c r="A108" s="802"/>
      <c r="B108" s="803"/>
      <c r="C108" s="804"/>
      <c r="D108" s="576" t="s">
        <v>364</v>
      </c>
      <c r="E108" s="577" t="s">
        <v>173</v>
      </c>
      <c r="F108" s="193" t="s">
        <v>173</v>
      </c>
      <c r="G108" s="193" t="s">
        <v>173</v>
      </c>
      <c r="H108" s="193" t="s">
        <v>173</v>
      </c>
      <c r="I108" s="193" t="s">
        <v>173</v>
      </c>
    </row>
    <row r="109" spans="1:9" x14ac:dyDescent="0.25">
      <c r="A109" s="793" t="s">
        <v>43</v>
      </c>
      <c r="B109" s="796" t="s">
        <v>191</v>
      </c>
      <c r="C109" s="194" t="s">
        <v>25</v>
      </c>
      <c r="D109" s="578" t="str">
        <f>IF(E109='Parametre - Agendové IS'!Q87,"OK","Chyba počtu FTE")</f>
        <v>OK</v>
      </c>
      <c r="E109" s="650">
        <f t="shared" ref="E109:E138" si="3">F109+G109+H109+I109</f>
        <v>1.9047619047619049</v>
      </c>
      <c r="F109" s="647">
        <v>1.9047619047619049</v>
      </c>
      <c r="G109" s="259"/>
      <c r="H109" s="259"/>
      <c r="I109" s="259"/>
    </row>
    <row r="110" spans="1:9" x14ac:dyDescent="0.25">
      <c r="A110" s="794"/>
      <c r="B110" s="797"/>
      <c r="C110" s="191" t="s">
        <v>26</v>
      </c>
      <c r="D110" s="580" t="str">
        <f>IF(E110='Parametre - Agendové IS'!Q88,"OK","Chyba počtu FTE")</f>
        <v>OK</v>
      </c>
      <c r="E110" s="651">
        <f t="shared" si="3"/>
        <v>1.9047619047619049</v>
      </c>
      <c r="F110" s="648">
        <v>1.9047619047619049</v>
      </c>
      <c r="G110" s="260"/>
      <c r="H110" s="260"/>
      <c r="I110" s="260"/>
    </row>
    <row r="111" spans="1:9" x14ac:dyDescent="0.25">
      <c r="A111" s="794"/>
      <c r="B111" s="797"/>
      <c r="C111" s="191" t="s">
        <v>27</v>
      </c>
      <c r="D111" s="580" t="str">
        <f>IF(E111='Parametre - Agendové IS'!Q89,"OK","Chyba počtu FTE")</f>
        <v>OK</v>
      </c>
      <c r="E111" s="651">
        <f t="shared" si="3"/>
        <v>1.9444444444444444</v>
      </c>
      <c r="F111" s="648">
        <v>1.9444444444444444</v>
      </c>
      <c r="G111" s="260"/>
      <c r="H111" s="260"/>
      <c r="I111" s="260"/>
    </row>
    <row r="112" spans="1:9" x14ac:dyDescent="0.25">
      <c r="A112" s="794"/>
      <c r="B112" s="797"/>
      <c r="C112" s="191" t="s">
        <v>28</v>
      </c>
      <c r="D112" s="580" t="str">
        <f>IF(E112='Parametre - Agendové IS'!Q90,"OK","Chyba počtu FTE")</f>
        <v>OK</v>
      </c>
      <c r="E112" s="651">
        <f t="shared" si="3"/>
        <v>1.9444444444444444</v>
      </c>
      <c r="F112" s="648">
        <v>1.9444444444444444</v>
      </c>
      <c r="G112" s="260"/>
      <c r="H112" s="260"/>
      <c r="I112" s="260"/>
    </row>
    <row r="113" spans="1:9" x14ac:dyDescent="0.25">
      <c r="A113" s="794"/>
      <c r="B113" s="797"/>
      <c r="C113" s="191" t="s">
        <v>29</v>
      </c>
      <c r="D113" s="580" t="str">
        <f>IF(E113='Parametre - Agendové IS'!Q91,"OK","Chyba počtu FTE")</f>
        <v>OK</v>
      </c>
      <c r="E113" s="651">
        <f t="shared" si="3"/>
        <v>1.9841269841269842</v>
      </c>
      <c r="F113" s="648">
        <v>1.9841269841269842</v>
      </c>
      <c r="G113" s="260"/>
      <c r="H113" s="260"/>
      <c r="I113" s="260"/>
    </row>
    <row r="114" spans="1:9" x14ac:dyDescent="0.25">
      <c r="A114" s="794"/>
      <c r="B114" s="797"/>
      <c r="C114" s="191" t="s">
        <v>30</v>
      </c>
      <c r="D114" s="580" t="str">
        <f>IF(E114='Parametre - Agendové IS'!Q92,"OK","Chyba počtu FTE")</f>
        <v>OK</v>
      </c>
      <c r="E114" s="651">
        <f t="shared" si="3"/>
        <v>1.9841269841269842</v>
      </c>
      <c r="F114" s="648">
        <v>1.9841269841269842</v>
      </c>
      <c r="G114" s="260"/>
      <c r="H114" s="260"/>
      <c r="I114" s="260"/>
    </row>
    <row r="115" spans="1:9" x14ac:dyDescent="0.25">
      <c r="A115" s="794"/>
      <c r="B115" s="797"/>
      <c r="C115" s="191" t="s">
        <v>31</v>
      </c>
      <c r="D115" s="580" t="str">
        <f>IF(E115='Parametre - Agendové IS'!Q93,"OK","Chyba počtu FTE")</f>
        <v>OK</v>
      </c>
      <c r="E115" s="651">
        <f t="shared" si="3"/>
        <v>2.0238095238095237</v>
      </c>
      <c r="F115" s="648">
        <v>2.0238095238095237</v>
      </c>
      <c r="G115" s="260"/>
      <c r="H115" s="260"/>
      <c r="I115" s="260"/>
    </row>
    <row r="116" spans="1:9" x14ac:dyDescent="0.25">
      <c r="A116" s="794"/>
      <c r="B116" s="797"/>
      <c r="C116" s="191" t="s">
        <v>32</v>
      </c>
      <c r="D116" s="580" t="str">
        <f>IF(E116='Parametre - Agendové IS'!Q94,"OK","Chyba počtu FTE")</f>
        <v>OK</v>
      </c>
      <c r="E116" s="651">
        <f t="shared" si="3"/>
        <v>2.0238095238095237</v>
      </c>
      <c r="F116" s="648">
        <v>2.0238095238095237</v>
      </c>
      <c r="G116" s="260"/>
      <c r="H116" s="260"/>
      <c r="I116" s="260"/>
    </row>
    <row r="117" spans="1:9" x14ac:dyDescent="0.25">
      <c r="A117" s="794"/>
      <c r="B117" s="797"/>
      <c r="C117" s="191" t="s">
        <v>33</v>
      </c>
      <c r="D117" s="580" t="str">
        <f>IF(E117='Parametre - Agendové IS'!Q95,"OK","Chyba počtu FTE")</f>
        <v>OK</v>
      </c>
      <c r="E117" s="651">
        <f t="shared" si="3"/>
        <v>2.0634920634920637</v>
      </c>
      <c r="F117" s="648">
        <v>2.0634920634920637</v>
      </c>
      <c r="G117" s="260"/>
      <c r="H117" s="260"/>
      <c r="I117" s="260"/>
    </row>
    <row r="118" spans="1:9" ht="15.75" thickBot="1" x14ac:dyDescent="0.3">
      <c r="A118" s="794"/>
      <c r="B118" s="797"/>
      <c r="C118" s="191" t="s">
        <v>34</v>
      </c>
      <c r="D118" s="582" t="str">
        <f>IF(E118='Parametre - Agendové IS'!Q96,"OK","Chyba počtu FTE")</f>
        <v>OK</v>
      </c>
      <c r="E118" s="652">
        <f t="shared" si="3"/>
        <v>2.0634920634920637</v>
      </c>
      <c r="F118" s="649">
        <v>2.0634920634920637</v>
      </c>
      <c r="G118" s="261"/>
      <c r="H118" s="261"/>
      <c r="I118" s="261"/>
    </row>
    <row r="119" spans="1:9" x14ac:dyDescent="0.25">
      <c r="A119" s="793" t="s">
        <v>41</v>
      </c>
      <c r="B119" s="796" t="s">
        <v>37</v>
      </c>
      <c r="C119" s="194" t="s">
        <v>25</v>
      </c>
      <c r="D119" s="579" t="str">
        <f>IF(E119='Parametre - Agendové IS'!Q6,"OK","Chyba počtu podaní")</f>
        <v>OK</v>
      </c>
      <c r="E119" s="584">
        <f t="shared" si="3"/>
        <v>24000</v>
      </c>
      <c r="F119" s="259">
        <v>24000</v>
      </c>
      <c r="G119" s="259"/>
      <c r="H119" s="259"/>
      <c r="I119" s="259"/>
    </row>
    <row r="120" spans="1:9" x14ac:dyDescent="0.25">
      <c r="A120" s="794"/>
      <c r="B120" s="797"/>
      <c r="C120" s="191" t="s">
        <v>26</v>
      </c>
      <c r="D120" s="580" t="str">
        <f>IF(E120='Parametre - Agendové IS'!Q7,"OK","Chyba počtu podaní")</f>
        <v>OK</v>
      </c>
      <c r="E120" s="581">
        <f t="shared" si="3"/>
        <v>24000</v>
      </c>
      <c r="F120" s="260">
        <v>24000</v>
      </c>
      <c r="G120" s="260"/>
      <c r="H120" s="260"/>
      <c r="I120" s="260"/>
    </row>
    <row r="121" spans="1:9" x14ac:dyDescent="0.25">
      <c r="A121" s="794"/>
      <c r="B121" s="797"/>
      <c r="C121" s="191" t="s">
        <v>27</v>
      </c>
      <c r="D121" s="580" t="str">
        <f>IF(E121='Parametre - Agendové IS'!Q8,"OK","Chyba počtu podaní")</f>
        <v>OK</v>
      </c>
      <c r="E121" s="581">
        <f t="shared" si="3"/>
        <v>24500</v>
      </c>
      <c r="F121" s="260">
        <v>24500</v>
      </c>
      <c r="G121" s="260"/>
      <c r="H121" s="260"/>
      <c r="I121" s="260"/>
    </row>
    <row r="122" spans="1:9" x14ac:dyDescent="0.25">
      <c r="A122" s="794"/>
      <c r="B122" s="797"/>
      <c r="C122" s="191" t="s">
        <v>28</v>
      </c>
      <c r="D122" s="580" t="str">
        <f>IF(E122='Parametre - Agendové IS'!Q9,"OK","Chyba počtu podaní")</f>
        <v>OK</v>
      </c>
      <c r="E122" s="581">
        <f t="shared" si="3"/>
        <v>24500</v>
      </c>
      <c r="F122" s="260">
        <v>24500</v>
      </c>
      <c r="G122" s="260"/>
      <c r="H122" s="260"/>
      <c r="I122" s="260"/>
    </row>
    <row r="123" spans="1:9" x14ac:dyDescent="0.25">
      <c r="A123" s="794"/>
      <c r="B123" s="797"/>
      <c r="C123" s="191" t="s">
        <v>29</v>
      </c>
      <c r="D123" s="580" t="str">
        <f>IF(E123='Parametre - Agendové IS'!Q10,"OK","Chyba počtu podaní")</f>
        <v>OK</v>
      </c>
      <c r="E123" s="581">
        <f t="shared" si="3"/>
        <v>25000</v>
      </c>
      <c r="F123" s="260">
        <v>25000</v>
      </c>
      <c r="G123" s="260"/>
      <c r="H123" s="260"/>
      <c r="I123" s="260"/>
    </row>
    <row r="124" spans="1:9" x14ac:dyDescent="0.25">
      <c r="A124" s="794"/>
      <c r="B124" s="797"/>
      <c r="C124" s="191" t="s">
        <v>30</v>
      </c>
      <c r="D124" s="580" t="str">
        <f>IF(E124='Parametre - Agendové IS'!Q11,"OK","Chyba počtu podaní")</f>
        <v>OK</v>
      </c>
      <c r="E124" s="581">
        <f t="shared" si="3"/>
        <v>25000</v>
      </c>
      <c r="F124" s="260">
        <v>25000</v>
      </c>
      <c r="G124" s="260"/>
      <c r="H124" s="260"/>
      <c r="I124" s="260"/>
    </row>
    <row r="125" spans="1:9" x14ac:dyDescent="0.25">
      <c r="A125" s="794"/>
      <c r="B125" s="797"/>
      <c r="C125" s="191" t="s">
        <v>31</v>
      </c>
      <c r="D125" s="580" t="str">
        <f>IF(E125='Parametre - Agendové IS'!Q12,"OK","Chyba počtu podaní")</f>
        <v>OK</v>
      </c>
      <c r="E125" s="581">
        <f t="shared" si="3"/>
        <v>25500</v>
      </c>
      <c r="F125" s="260">
        <v>25500</v>
      </c>
      <c r="G125" s="260"/>
      <c r="H125" s="260"/>
      <c r="I125" s="260"/>
    </row>
    <row r="126" spans="1:9" x14ac:dyDescent="0.25">
      <c r="A126" s="794"/>
      <c r="B126" s="797"/>
      <c r="C126" s="191" t="s">
        <v>32</v>
      </c>
      <c r="D126" s="580" t="str">
        <f>IF(E126='Parametre - Agendové IS'!Q13,"OK","Chyba počtu podaní")</f>
        <v>OK</v>
      </c>
      <c r="E126" s="581">
        <f t="shared" si="3"/>
        <v>25500</v>
      </c>
      <c r="F126" s="260">
        <v>25500</v>
      </c>
      <c r="G126" s="260"/>
      <c r="H126" s="260"/>
      <c r="I126" s="260"/>
    </row>
    <row r="127" spans="1:9" x14ac:dyDescent="0.25">
      <c r="A127" s="794"/>
      <c r="B127" s="797"/>
      <c r="C127" s="191" t="s">
        <v>33</v>
      </c>
      <c r="D127" s="580" t="str">
        <f>IF(E127='Parametre - Agendové IS'!Q14,"OK","Chyba počtu podaní")</f>
        <v>OK</v>
      </c>
      <c r="E127" s="581">
        <f t="shared" si="3"/>
        <v>26000</v>
      </c>
      <c r="F127" s="260">
        <v>26000</v>
      </c>
      <c r="G127" s="260"/>
      <c r="H127" s="260"/>
      <c r="I127" s="260"/>
    </row>
    <row r="128" spans="1:9" ht="15.75" thickBot="1" x14ac:dyDescent="0.3">
      <c r="A128" s="795"/>
      <c r="B128" s="798"/>
      <c r="C128" s="192" t="s">
        <v>34</v>
      </c>
      <c r="D128" s="580" t="str">
        <f>IF(E128='Parametre - Agendové IS'!Q15,"OK","Chyba počtu podaní")</f>
        <v>OK</v>
      </c>
      <c r="E128" s="581">
        <f t="shared" si="3"/>
        <v>26000</v>
      </c>
      <c r="F128" s="260">
        <v>26000</v>
      </c>
      <c r="G128" s="260"/>
      <c r="H128" s="260"/>
      <c r="I128" s="260"/>
    </row>
    <row r="129" spans="1:9" x14ac:dyDescent="0.25">
      <c r="A129" s="793" t="s">
        <v>39</v>
      </c>
      <c r="B129" s="796" t="s">
        <v>13</v>
      </c>
      <c r="C129" s="194" t="s">
        <v>25</v>
      </c>
      <c r="D129" s="579" t="str">
        <f>IF(E129='Parametre - Agendové IS'!Q127,"OK","Chyba")</f>
        <v>OK</v>
      </c>
      <c r="E129" s="584">
        <f t="shared" si="3"/>
        <v>0</v>
      </c>
      <c r="F129" s="259"/>
      <c r="G129" s="259"/>
      <c r="H129" s="259"/>
      <c r="I129" s="259"/>
    </row>
    <row r="130" spans="1:9" x14ac:dyDescent="0.25">
      <c r="A130" s="794"/>
      <c r="B130" s="797"/>
      <c r="C130" s="191" t="s">
        <v>26</v>
      </c>
      <c r="D130" s="580" t="str">
        <f>IF(E130='Parametre - Agendové IS'!Q128,"OK","Chyba")</f>
        <v>OK</v>
      </c>
      <c r="E130" s="581">
        <f t="shared" si="3"/>
        <v>0</v>
      </c>
      <c r="F130" s="260"/>
      <c r="G130" s="260"/>
      <c r="H130" s="260"/>
      <c r="I130" s="260"/>
    </row>
    <row r="131" spans="1:9" x14ac:dyDescent="0.25">
      <c r="A131" s="794"/>
      <c r="B131" s="797"/>
      <c r="C131" s="191" t="s">
        <v>27</v>
      </c>
      <c r="D131" s="580" t="str">
        <f>IF(E131='Parametre - Agendové IS'!Q129,"OK","Chyba")</f>
        <v>OK</v>
      </c>
      <c r="E131" s="581">
        <f t="shared" si="3"/>
        <v>0</v>
      </c>
      <c r="F131" s="260"/>
      <c r="G131" s="260"/>
      <c r="H131" s="260"/>
      <c r="I131" s="260"/>
    </row>
    <row r="132" spans="1:9" x14ac:dyDescent="0.25">
      <c r="A132" s="794"/>
      <c r="B132" s="797"/>
      <c r="C132" s="191" t="s">
        <v>28</v>
      </c>
      <c r="D132" s="580" t="str">
        <f>IF(E132='Parametre - Agendové IS'!Q130,"OK","Chyba")</f>
        <v>OK</v>
      </c>
      <c r="E132" s="581">
        <f t="shared" si="3"/>
        <v>0</v>
      </c>
      <c r="F132" s="260"/>
      <c r="G132" s="260"/>
      <c r="H132" s="260"/>
      <c r="I132" s="260"/>
    </row>
    <row r="133" spans="1:9" x14ac:dyDescent="0.25">
      <c r="A133" s="794"/>
      <c r="B133" s="797"/>
      <c r="C133" s="191" t="s">
        <v>29</v>
      </c>
      <c r="D133" s="580" t="str">
        <f>IF(E133='Parametre - Agendové IS'!Q131,"OK","Chyba")</f>
        <v>OK</v>
      </c>
      <c r="E133" s="581">
        <f t="shared" si="3"/>
        <v>0</v>
      </c>
      <c r="F133" s="260"/>
      <c r="G133" s="260"/>
      <c r="H133" s="260"/>
      <c r="I133" s="260"/>
    </row>
    <row r="134" spans="1:9" x14ac:dyDescent="0.25">
      <c r="A134" s="794"/>
      <c r="B134" s="797"/>
      <c r="C134" s="191" t="s">
        <v>30</v>
      </c>
      <c r="D134" s="580" t="str">
        <f>IF(E134='Parametre - Agendové IS'!Q132,"OK","Chyba")</f>
        <v>OK</v>
      </c>
      <c r="E134" s="581">
        <f t="shared" si="3"/>
        <v>0</v>
      </c>
      <c r="F134" s="260"/>
      <c r="G134" s="260"/>
      <c r="H134" s="260"/>
      <c r="I134" s="260"/>
    </row>
    <row r="135" spans="1:9" x14ac:dyDescent="0.25">
      <c r="A135" s="794"/>
      <c r="B135" s="797"/>
      <c r="C135" s="191" t="s">
        <v>31</v>
      </c>
      <c r="D135" s="580" t="str">
        <f>IF(E135='Parametre - Agendové IS'!Q133,"OK","Chyba")</f>
        <v>OK</v>
      </c>
      <c r="E135" s="581">
        <f t="shared" si="3"/>
        <v>0</v>
      </c>
      <c r="F135" s="260"/>
      <c r="G135" s="260"/>
      <c r="H135" s="260"/>
      <c r="I135" s="260"/>
    </row>
    <row r="136" spans="1:9" x14ac:dyDescent="0.25">
      <c r="A136" s="794"/>
      <c r="B136" s="797"/>
      <c r="C136" s="191" t="s">
        <v>32</v>
      </c>
      <c r="D136" s="580" t="str">
        <f>IF(E136='Parametre - Agendové IS'!Q134,"OK","Chyba")</f>
        <v>OK</v>
      </c>
      <c r="E136" s="581">
        <f t="shared" si="3"/>
        <v>0</v>
      </c>
      <c r="F136" s="260"/>
      <c r="G136" s="260"/>
      <c r="H136" s="260"/>
      <c r="I136" s="260"/>
    </row>
    <row r="137" spans="1:9" x14ac:dyDescent="0.25">
      <c r="A137" s="794"/>
      <c r="B137" s="797"/>
      <c r="C137" s="191" t="s">
        <v>33</v>
      </c>
      <c r="D137" s="580" t="str">
        <f>IF(E137='Parametre - Agendové IS'!Q135,"OK","Chyba")</f>
        <v>OK</v>
      </c>
      <c r="E137" s="581">
        <f t="shared" si="3"/>
        <v>0</v>
      </c>
      <c r="F137" s="260"/>
      <c r="G137" s="260"/>
      <c r="H137" s="260"/>
      <c r="I137" s="260"/>
    </row>
    <row r="138" spans="1:9" ht="15.75" thickBot="1" x14ac:dyDescent="0.3">
      <c r="A138" s="795"/>
      <c r="B138" s="798"/>
      <c r="C138" s="192" t="s">
        <v>34</v>
      </c>
      <c r="D138" s="580" t="str">
        <f>IF(E138='Parametre - Agendové IS'!Q136,"OK","Chyba")</f>
        <v>OK</v>
      </c>
      <c r="E138" s="581">
        <f t="shared" si="3"/>
        <v>0</v>
      </c>
      <c r="F138" s="260"/>
      <c r="G138" s="260"/>
      <c r="H138" s="260"/>
      <c r="I138" s="260"/>
    </row>
    <row r="139" spans="1:9" ht="15.75" thickBot="1" x14ac:dyDescent="0.3"/>
    <row r="140" spans="1:9" x14ac:dyDescent="0.25">
      <c r="A140" s="799">
        <f>'Parametre - Agendové IS'!S1</f>
        <v>0</v>
      </c>
      <c r="B140" s="800"/>
      <c r="C140" s="801"/>
      <c r="D140" s="805" t="s">
        <v>107</v>
      </c>
      <c r="E140" s="806"/>
      <c r="F140" s="356" t="s">
        <v>170</v>
      </c>
      <c r="G140" s="356" t="s">
        <v>171</v>
      </c>
      <c r="H140" s="356" t="s">
        <v>172</v>
      </c>
      <c r="I140" s="356" t="s">
        <v>174</v>
      </c>
    </row>
    <row r="141" spans="1:9" ht="15.75" thickBot="1" x14ac:dyDescent="0.3">
      <c r="A141" s="802"/>
      <c r="B141" s="803"/>
      <c r="C141" s="804"/>
      <c r="D141" s="576" t="s">
        <v>364</v>
      </c>
      <c r="E141" s="577" t="s">
        <v>173</v>
      </c>
      <c r="F141" s="193" t="s">
        <v>173</v>
      </c>
      <c r="G141" s="193" t="s">
        <v>173</v>
      </c>
      <c r="H141" s="193" t="s">
        <v>173</v>
      </c>
      <c r="I141" s="193" t="s">
        <v>173</v>
      </c>
    </row>
    <row r="142" spans="1:9" x14ac:dyDescent="0.25">
      <c r="A142" s="793" t="s">
        <v>43</v>
      </c>
      <c r="B142" s="796" t="s">
        <v>191</v>
      </c>
      <c r="C142" s="194" t="s">
        <v>25</v>
      </c>
      <c r="D142" s="578" t="str">
        <f>IF(E142='Parametre - Agendové IS'!T87,"OK","Chyba počtu FTE")</f>
        <v>OK</v>
      </c>
      <c r="E142" s="650">
        <f t="shared" ref="E142:E171" si="4">F142+G142+H142+I142</f>
        <v>0.15873015873015872</v>
      </c>
      <c r="F142" s="647">
        <v>0.15873015873015872</v>
      </c>
      <c r="G142" s="259"/>
      <c r="H142" s="259"/>
      <c r="I142" s="259"/>
    </row>
    <row r="143" spans="1:9" x14ac:dyDescent="0.25">
      <c r="A143" s="794"/>
      <c r="B143" s="797"/>
      <c r="C143" s="191" t="s">
        <v>26</v>
      </c>
      <c r="D143" s="580" t="str">
        <f>IF(E143='Parametre - Agendové IS'!T88,"OK","Chyba počtu FTE")</f>
        <v>OK</v>
      </c>
      <c r="E143" s="651">
        <f t="shared" si="4"/>
        <v>0.15873015873015872</v>
      </c>
      <c r="F143" s="648">
        <v>0.15873015873015872</v>
      </c>
      <c r="G143" s="260"/>
      <c r="H143" s="260"/>
      <c r="I143" s="260"/>
    </row>
    <row r="144" spans="1:9" x14ac:dyDescent="0.25">
      <c r="A144" s="794"/>
      <c r="B144" s="797"/>
      <c r="C144" s="191" t="s">
        <v>27</v>
      </c>
      <c r="D144" s="580" t="str">
        <f>IF(E144='Parametre - Agendové IS'!T89,"OK","Chyba počtu FTE")</f>
        <v>OK</v>
      </c>
      <c r="E144" s="651">
        <f t="shared" si="4"/>
        <v>0.16984126984126982</v>
      </c>
      <c r="F144" s="648">
        <v>0.16984126984126982</v>
      </c>
      <c r="G144" s="260"/>
      <c r="H144" s="260"/>
      <c r="I144" s="260"/>
    </row>
    <row r="145" spans="1:9" x14ac:dyDescent="0.25">
      <c r="A145" s="794"/>
      <c r="B145" s="797"/>
      <c r="C145" s="191" t="s">
        <v>28</v>
      </c>
      <c r="D145" s="580" t="str">
        <f>IF(E145='Parametre - Agendové IS'!T90,"OK","Chyba počtu FTE")</f>
        <v>OK</v>
      </c>
      <c r="E145" s="651">
        <f t="shared" si="4"/>
        <v>0.18253968253968253</v>
      </c>
      <c r="F145" s="648">
        <v>0.18253968253968253</v>
      </c>
      <c r="G145" s="260"/>
      <c r="H145" s="260"/>
      <c r="I145" s="260"/>
    </row>
    <row r="146" spans="1:9" x14ac:dyDescent="0.25">
      <c r="A146" s="794"/>
      <c r="B146" s="797"/>
      <c r="C146" s="191" t="s">
        <v>29</v>
      </c>
      <c r="D146" s="580" t="str">
        <f>IF(E146='Parametre - Agendové IS'!T91,"OK","Chyba počtu FTE")</f>
        <v>OK</v>
      </c>
      <c r="E146" s="651">
        <f t="shared" si="4"/>
        <v>0.19047619047619049</v>
      </c>
      <c r="F146" s="648">
        <v>0.19047619047619049</v>
      </c>
      <c r="G146" s="260"/>
      <c r="H146" s="260"/>
      <c r="I146" s="260"/>
    </row>
    <row r="147" spans="1:9" x14ac:dyDescent="0.25">
      <c r="A147" s="794"/>
      <c r="B147" s="797"/>
      <c r="C147" s="191" t="s">
        <v>30</v>
      </c>
      <c r="D147" s="580" t="str">
        <f>IF(E147='Parametre - Agendové IS'!T92,"OK","Chyba počtu FTE")</f>
        <v>OK</v>
      </c>
      <c r="E147" s="651">
        <f t="shared" si="4"/>
        <v>0.19047619047619049</v>
      </c>
      <c r="F147" s="648">
        <v>0.19047619047619049</v>
      </c>
      <c r="G147" s="260"/>
      <c r="H147" s="260"/>
      <c r="I147" s="260"/>
    </row>
    <row r="148" spans="1:9" x14ac:dyDescent="0.25">
      <c r="A148" s="794"/>
      <c r="B148" s="797"/>
      <c r="C148" s="191" t="s">
        <v>31</v>
      </c>
      <c r="D148" s="580" t="str">
        <f>IF(E148='Parametre - Agendové IS'!T93,"OK","Chyba počtu FTE")</f>
        <v>OK</v>
      </c>
      <c r="E148" s="651">
        <f t="shared" si="4"/>
        <v>0.19841269841269843</v>
      </c>
      <c r="F148" s="648">
        <v>0.19841269841269843</v>
      </c>
      <c r="G148" s="260"/>
      <c r="H148" s="260"/>
      <c r="I148" s="260"/>
    </row>
    <row r="149" spans="1:9" x14ac:dyDescent="0.25">
      <c r="A149" s="794"/>
      <c r="B149" s="797"/>
      <c r="C149" s="191" t="s">
        <v>32</v>
      </c>
      <c r="D149" s="580" t="str">
        <f>IF(E149='Parametre - Agendové IS'!T94,"OK","Chyba počtu FTE")</f>
        <v>OK</v>
      </c>
      <c r="E149" s="651">
        <f t="shared" si="4"/>
        <v>0.19047619047619049</v>
      </c>
      <c r="F149" s="648">
        <v>0.19047619047619049</v>
      </c>
      <c r="G149" s="260"/>
      <c r="H149" s="260"/>
      <c r="I149" s="260"/>
    </row>
    <row r="150" spans="1:9" x14ac:dyDescent="0.25">
      <c r="A150" s="794"/>
      <c r="B150" s="797"/>
      <c r="C150" s="191" t="s">
        <v>33</v>
      </c>
      <c r="D150" s="580" t="str">
        <f>IF(E150='Parametre - Agendové IS'!T95,"OK","Chyba počtu FTE")</f>
        <v>OK</v>
      </c>
      <c r="E150" s="651">
        <f t="shared" si="4"/>
        <v>0.19047619047619049</v>
      </c>
      <c r="F150" s="648">
        <v>0.19047619047619049</v>
      </c>
      <c r="G150" s="260"/>
      <c r="H150" s="260"/>
      <c r="I150" s="260"/>
    </row>
    <row r="151" spans="1:9" ht="15.75" thickBot="1" x14ac:dyDescent="0.3">
      <c r="A151" s="794"/>
      <c r="B151" s="797"/>
      <c r="C151" s="191" t="s">
        <v>34</v>
      </c>
      <c r="D151" s="582" t="str">
        <f>IF(E151='Parametre - Agendové IS'!T96,"OK","Chyba počtu FTE")</f>
        <v>OK</v>
      </c>
      <c r="E151" s="652">
        <f t="shared" si="4"/>
        <v>0.19047619047619049</v>
      </c>
      <c r="F151" s="649">
        <v>0.19047619047619049</v>
      </c>
      <c r="G151" s="261"/>
      <c r="H151" s="261"/>
      <c r="I151" s="261"/>
    </row>
    <row r="152" spans="1:9" x14ac:dyDescent="0.25">
      <c r="A152" s="793" t="s">
        <v>41</v>
      </c>
      <c r="B152" s="796" t="s">
        <v>37</v>
      </c>
      <c r="C152" s="194" t="s">
        <v>25</v>
      </c>
      <c r="D152" s="579" t="str">
        <f>IF(E152='Parametre - Agendové IS'!T67,"OK","Chyba počtu podaní")</f>
        <v>OK</v>
      </c>
      <c r="E152" s="584">
        <f t="shared" si="4"/>
        <v>2000</v>
      </c>
      <c r="F152" s="259">
        <v>2000</v>
      </c>
      <c r="G152" s="259"/>
      <c r="H152" s="259"/>
      <c r="I152" s="259"/>
    </row>
    <row r="153" spans="1:9" x14ac:dyDescent="0.25">
      <c r="A153" s="794"/>
      <c r="B153" s="797"/>
      <c r="C153" s="191" t="s">
        <v>26</v>
      </c>
      <c r="D153" s="580" t="str">
        <f>IF(E153='Parametre - Agendové IS'!T68,"OK","Chyba počtu podaní")</f>
        <v>OK</v>
      </c>
      <c r="E153" s="581">
        <f t="shared" si="4"/>
        <v>2000</v>
      </c>
      <c r="F153" s="260">
        <v>2000</v>
      </c>
      <c r="G153" s="260"/>
      <c r="H153" s="260"/>
      <c r="I153" s="260"/>
    </row>
    <row r="154" spans="1:9" x14ac:dyDescent="0.25">
      <c r="A154" s="794"/>
      <c r="B154" s="797"/>
      <c r="C154" s="191" t="s">
        <v>27</v>
      </c>
      <c r="D154" s="580" t="str">
        <f>IF(E154='Parametre - Agendové IS'!T69,"OK","Chyba počtu podaní")</f>
        <v>OK</v>
      </c>
      <c r="E154" s="581">
        <f t="shared" si="4"/>
        <v>2140</v>
      </c>
      <c r="F154" s="260">
        <v>2140</v>
      </c>
      <c r="G154" s="260"/>
      <c r="H154" s="260"/>
      <c r="I154" s="260"/>
    </row>
    <row r="155" spans="1:9" x14ac:dyDescent="0.25">
      <c r="A155" s="794"/>
      <c r="B155" s="797"/>
      <c r="C155" s="191" t="s">
        <v>28</v>
      </c>
      <c r="D155" s="580" t="str">
        <f>IF(E155='Parametre - Agendové IS'!T70,"OK","Chyba počtu podaní")</f>
        <v>OK</v>
      </c>
      <c r="E155" s="581">
        <f t="shared" si="4"/>
        <v>2300</v>
      </c>
      <c r="F155" s="260">
        <v>2300</v>
      </c>
      <c r="G155" s="260"/>
      <c r="H155" s="260"/>
      <c r="I155" s="260"/>
    </row>
    <row r="156" spans="1:9" x14ac:dyDescent="0.25">
      <c r="A156" s="794"/>
      <c r="B156" s="797"/>
      <c r="C156" s="191" t="s">
        <v>29</v>
      </c>
      <c r="D156" s="580" t="str">
        <f>IF(E156='Parametre - Agendové IS'!T71,"OK","Chyba počtu podaní")</f>
        <v>OK</v>
      </c>
      <c r="E156" s="581">
        <f t="shared" si="4"/>
        <v>2400</v>
      </c>
      <c r="F156" s="260">
        <v>2400</v>
      </c>
      <c r="G156" s="260"/>
      <c r="H156" s="260"/>
      <c r="I156" s="260"/>
    </row>
    <row r="157" spans="1:9" x14ac:dyDescent="0.25">
      <c r="A157" s="794"/>
      <c r="B157" s="797"/>
      <c r="C157" s="191" t="s">
        <v>30</v>
      </c>
      <c r="D157" s="580" t="str">
        <f>IF(E157='Parametre - Agendové IS'!T72,"OK","Chyba počtu podaní")</f>
        <v>OK</v>
      </c>
      <c r="E157" s="581">
        <f t="shared" si="4"/>
        <v>2400</v>
      </c>
      <c r="F157" s="260">
        <v>2400</v>
      </c>
      <c r="G157" s="260"/>
      <c r="H157" s="260"/>
      <c r="I157" s="260"/>
    </row>
    <row r="158" spans="1:9" x14ac:dyDescent="0.25">
      <c r="A158" s="794"/>
      <c r="B158" s="797"/>
      <c r="C158" s="191" t="s">
        <v>31</v>
      </c>
      <c r="D158" s="580" t="str">
        <f>IF(E158='Parametre - Agendové IS'!T73,"OK","Chyba počtu podaní")</f>
        <v>OK</v>
      </c>
      <c r="E158" s="581">
        <f t="shared" si="4"/>
        <v>2500</v>
      </c>
      <c r="F158" s="260">
        <v>2500</v>
      </c>
      <c r="G158" s="260"/>
      <c r="H158" s="260"/>
      <c r="I158" s="260"/>
    </row>
    <row r="159" spans="1:9" x14ac:dyDescent="0.25">
      <c r="A159" s="794"/>
      <c r="B159" s="797"/>
      <c r="C159" s="191" t="s">
        <v>32</v>
      </c>
      <c r="D159" s="580" t="str">
        <f>IF(E159='Parametre - Agendové IS'!T74,"OK","Chyba počtu podaní")</f>
        <v>OK</v>
      </c>
      <c r="E159" s="581">
        <f t="shared" si="4"/>
        <v>2400</v>
      </c>
      <c r="F159" s="260">
        <v>2400</v>
      </c>
      <c r="G159" s="260"/>
      <c r="H159" s="260"/>
      <c r="I159" s="260"/>
    </row>
    <row r="160" spans="1:9" x14ac:dyDescent="0.25">
      <c r="A160" s="794"/>
      <c r="B160" s="797"/>
      <c r="C160" s="191" t="s">
        <v>33</v>
      </c>
      <c r="D160" s="580" t="str">
        <f>IF(E160='Parametre - Agendové IS'!T75,"OK","Chyba počtu podaní")</f>
        <v>OK</v>
      </c>
      <c r="E160" s="581">
        <f t="shared" si="4"/>
        <v>2400</v>
      </c>
      <c r="F160" s="260">
        <v>2400</v>
      </c>
      <c r="G160" s="260"/>
      <c r="H160" s="260"/>
      <c r="I160" s="260"/>
    </row>
    <row r="161" spans="1:9" ht="15.75" thickBot="1" x14ac:dyDescent="0.3">
      <c r="A161" s="795"/>
      <c r="B161" s="798"/>
      <c r="C161" s="192" t="s">
        <v>34</v>
      </c>
      <c r="D161" s="580" t="str">
        <f>IF(E161='Parametre - Agendové IS'!T76,"OK","Chyba počtu podaní")</f>
        <v>OK</v>
      </c>
      <c r="E161" s="581">
        <f t="shared" si="4"/>
        <v>2400</v>
      </c>
      <c r="F161" s="260">
        <v>2400</v>
      </c>
      <c r="G161" s="260"/>
      <c r="H161" s="260"/>
      <c r="I161" s="260"/>
    </row>
    <row r="162" spans="1:9" x14ac:dyDescent="0.25">
      <c r="A162" s="793" t="s">
        <v>39</v>
      </c>
      <c r="B162" s="796" t="s">
        <v>13</v>
      </c>
      <c r="C162" s="194" t="s">
        <v>25</v>
      </c>
      <c r="D162" s="579" t="str">
        <f>IF(E162='Parametre - Agendové IS'!Q160,"OK","Chyba")</f>
        <v>OK</v>
      </c>
      <c r="E162" s="584">
        <f t="shared" si="4"/>
        <v>0</v>
      </c>
      <c r="F162" s="259"/>
      <c r="G162" s="259"/>
      <c r="H162" s="259"/>
      <c r="I162" s="259"/>
    </row>
    <row r="163" spans="1:9" x14ac:dyDescent="0.25">
      <c r="A163" s="794"/>
      <c r="B163" s="797"/>
      <c r="C163" s="191" t="s">
        <v>26</v>
      </c>
      <c r="D163" s="580" t="str">
        <f>IF(E163='Parametre - Agendové IS'!Q161,"OK","Chyba")</f>
        <v>OK</v>
      </c>
      <c r="E163" s="581">
        <f t="shared" si="4"/>
        <v>0</v>
      </c>
      <c r="F163" s="260"/>
      <c r="G163" s="260"/>
      <c r="H163" s="260"/>
      <c r="I163" s="260"/>
    </row>
    <row r="164" spans="1:9" x14ac:dyDescent="0.25">
      <c r="A164" s="794"/>
      <c r="B164" s="797"/>
      <c r="C164" s="191" t="s">
        <v>27</v>
      </c>
      <c r="D164" s="580" t="str">
        <f>IF(E164='Parametre - Agendové IS'!Q162,"OK","Chyba")</f>
        <v>OK</v>
      </c>
      <c r="E164" s="581">
        <f t="shared" si="4"/>
        <v>0</v>
      </c>
      <c r="F164" s="260"/>
      <c r="G164" s="260"/>
      <c r="H164" s="260"/>
      <c r="I164" s="260"/>
    </row>
    <row r="165" spans="1:9" x14ac:dyDescent="0.25">
      <c r="A165" s="794"/>
      <c r="B165" s="797"/>
      <c r="C165" s="191" t="s">
        <v>28</v>
      </c>
      <c r="D165" s="580" t="str">
        <f>IF(E165='Parametre - Agendové IS'!Q163,"OK","Chyba")</f>
        <v>OK</v>
      </c>
      <c r="E165" s="581">
        <f t="shared" si="4"/>
        <v>0</v>
      </c>
      <c r="F165" s="260"/>
      <c r="G165" s="260"/>
      <c r="H165" s="260"/>
      <c r="I165" s="260"/>
    </row>
    <row r="166" spans="1:9" x14ac:dyDescent="0.25">
      <c r="A166" s="794"/>
      <c r="B166" s="797"/>
      <c r="C166" s="191" t="s">
        <v>29</v>
      </c>
      <c r="D166" s="580" t="str">
        <f>IF(E166='Parametre - Agendové IS'!Q164,"OK","Chyba")</f>
        <v>OK</v>
      </c>
      <c r="E166" s="581">
        <f t="shared" si="4"/>
        <v>0</v>
      </c>
      <c r="F166" s="260"/>
      <c r="G166" s="260"/>
      <c r="H166" s="260"/>
      <c r="I166" s="260"/>
    </row>
    <row r="167" spans="1:9" x14ac:dyDescent="0.25">
      <c r="A167" s="794"/>
      <c r="B167" s="797"/>
      <c r="C167" s="191" t="s">
        <v>30</v>
      </c>
      <c r="D167" s="580" t="str">
        <f>IF(E167='Parametre - Agendové IS'!Q165,"OK","Chyba")</f>
        <v>OK</v>
      </c>
      <c r="E167" s="581">
        <f t="shared" si="4"/>
        <v>0</v>
      </c>
      <c r="F167" s="260"/>
      <c r="G167" s="260"/>
      <c r="H167" s="260"/>
      <c r="I167" s="260"/>
    </row>
    <row r="168" spans="1:9" x14ac:dyDescent="0.25">
      <c r="A168" s="794"/>
      <c r="B168" s="797"/>
      <c r="C168" s="191" t="s">
        <v>31</v>
      </c>
      <c r="D168" s="580" t="str">
        <f>IF(E168='Parametre - Agendové IS'!Q166,"OK","Chyba")</f>
        <v>OK</v>
      </c>
      <c r="E168" s="581">
        <f t="shared" si="4"/>
        <v>0</v>
      </c>
      <c r="F168" s="260"/>
      <c r="G168" s="260"/>
      <c r="H168" s="260"/>
      <c r="I168" s="260"/>
    </row>
    <row r="169" spans="1:9" x14ac:dyDescent="0.25">
      <c r="A169" s="794"/>
      <c r="B169" s="797"/>
      <c r="C169" s="191" t="s">
        <v>32</v>
      </c>
      <c r="D169" s="580" t="str">
        <f>IF(E169='Parametre - Agendové IS'!Q167,"OK","Chyba")</f>
        <v>OK</v>
      </c>
      <c r="E169" s="581">
        <f t="shared" si="4"/>
        <v>0</v>
      </c>
      <c r="F169" s="260"/>
      <c r="G169" s="260"/>
      <c r="H169" s="260"/>
      <c r="I169" s="260"/>
    </row>
    <row r="170" spans="1:9" x14ac:dyDescent="0.25">
      <c r="A170" s="794"/>
      <c r="B170" s="797"/>
      <c r="C170" s="191" t="s">
        <v>33</v>
      </c>
      <c r="D170" s="580" t="str">
        <f>IF(E170='Parametre - Agendové IS'!Q168,"OK","Chyba")</f>
        <v>OK</v>
      </c>
      <c r="E170" s="581">
        <f t="shared" si="4"/>
        <v>0</v>
      </c>
      <c r="F170" s="260"/>
      <c r="G170" s="260"/>
      <c r="H170" s="260"/>
      <c r="I170" s="260"/>
    </row>
    <row r="171" spans="1:9" ht="15.75" thickBot="1" x14ac:dyDescent="0.3">
      <c r="A171" s="795"/>
      <c r="B171" s="798"/>
      <c r="C171" s="192" t="s">
        <v>34</v>
      </c>
      <c r="D171" s="580" t="str">
        <f>IF(E171='Parametre - Agendové IS'!Q169,"OK","Chyba")</f>
        <v>OK</v>
      </c>
      <c r="E171" s="581">
        <f t="shared" si="4"/>
        <v>0</v>
      </c>
      <c r="F171" s="260"/>
      <c r="G171" s="260"/>
      <c r="H171" s="260"/>
      <c r="I171" s="260"/>
    </row>
    <row r="172" spans="1:9" ht="15.75" thickBot="1" x14ac:dyDescent="0.3"/>
    <row r="173" spans="1:9" x14ac:dyDescent="0.25">
      <c r="A173" s="799">
        <f>'Parametre - Agendové IS'!V1</f>
        <v>0</v>
      </c>
      <c r="B173" s="800"/>
      <c r="C173" s="801"/>
      <c r="D173" s="805" t="s">
        <v>107</v>
      </c>
      <c r="E173" s="806"/>
      <c r="F173" s="356" t="s">
        <v>170</v>
      </c>
      <c r="G173" s="356" t="s">
        <v>171</v>
      </c>
      <c r="H173" s="356" t="s">
        <v>172</v>
      </c>
      <c r="I173" s="356" t="s">
        <v>174</v>
      </c>
    </row>
    <row r="174" spans="1:9" ht="15.75" thickBot="1" x14ac:dyDescent="0.3">
      <c r="A174" s="802"/>
      <c r="B174" s="803"/>
      <c r="C174" s="804"/>
      <c r="D174" s="576" t="s">
        <v>364</v>
      </c>
      <c r="E174" s="577" t="s">
        <v>173</v>
      </c>
      <c r="F174" s="193" t="s">
        <v>173</v>
      </c>
      <c r="G174" s="193" t="s">
        <v>173</v>
      </c>
      <c r="H174" s="193" t="s">
        <v>173</v>
      </c>
      <c r="I174" s="193" t="s">
        <v>173</v>
      </c>
    </row>
    <row r="175" spans="1:9" x14ac:dyDescent="0.25">
      <c r="A175" s="793" t="s">
        <v>43</v>
      </c>
      <c r="B175" s="796" t="s">
        <v>191</v>
      </c>
      <c r="C175" s="194" t="s">
        <v>25</v>
      </c>
      <c r="D175" s="578" t="str">
        <f>IF(E175='Parametre - Agendové IS'!Q153,"OK","Chyba počtu FTE")</f>
        <v>OK</v>
      </c>
      <c r="E175" s="579">
        <f t="shared" ref="E175:E204" si="5">F175+G175+H175+I175</f>
        <v>0</v>
      </c>
      <c r="F175" s="259"/>
      <c r="G175" s="259"/>
      <c r="H175" s="259"/>
      <c r="I175" s="259"/>
    </row>
    <row r="176" spans="1:9" x14ac:dyDescent="0.25">
      <c r="A176" s="794"/>
      <c r="B176" s="797"/>
      <c r="C176" s="191" t="s">
        <v>26</v>
      </c>
      <c r="D176" s="580" t="str">
        <f>IF(E176='Parametre - Agendové IS'!Q154,"OK","Chyba počtu FTE")</f>
        <v>OK</v>
      </c>
      <c r="E176" s="581">
        <f t="shared" si="5"/>
        <v>0</v>
      </c>
      <c r="F176" s="260"/>
      <c r="G176" s="260"/>
      <c r="H176" s="260"/>
      <c r="I176" s="260"/>
    </row>
    <row r="177" spans="1:9" x14ac:dyDescent="0.25">
      <c r="A177" s="794"/>
      <c r="B177" s="797"/>
      <c r="C177" s="191" t="s">
        <v>27</v>
      </c>
      <c r="D177" s="580" t="str">
        <f>IF(E177='Parametre - Agendové IS'!Q155,"OK","Chyba počtu FTE")</f>
        <v>OK</v>
      </c>
      <c r="E177" s="581">
        <f t="shared" si="5"/>
        <v>0</v>
      </c>
      <c r="F177" s="260"/>
      <c r="G177" s="260"/>
      <c r="H177" s="260"/>
      <c r="I177" s="260"/>
    </row>
    <row r="178" spans="1:9" x14ac:dyDescent="0.25">
      <c r="A178" s="794"/>
      <c r="B178" s="797"/>
      <c r="C178" s="191" t="s">
        <v>28</v>
      </c>
      <c r="D178" s="580" t="str">
        <f>IF(E178='Parametre - Agendové IS'!Q156,"OK","Chyba počtu FTE")</f>
        <v>OK</v>
      </c>
      <c r="E178" s="581">
        <f t="shared" si="5"/>
        <v>0</v>
      </c>
      <c r="F178" s="260"/>
      <c r="G178" s="260"/>
      <c r="H178" s="260"/>
      <c r="I178" s="260"/>
    </row>
    <row r="179" spans="1:9" x14ac:dyDescent="0.25">
      <c r="A179" s="794"/>
      <c r="B179" s="797"/>
      <c r="C179" s="191" t="s">
        <v>29</v>
      </c>
      <c r="D179" s="580" t="str">
        <f>IF(E179='Parametre - Agendové IS'!Q157,"OK","Chyba počtu FTE")</f>
        <v>OK</v>
      </c>
      <c r="E179" s="581">
        <f t="shared" si="5"/>
        <v>0</v>
      </c>
      <c r="F179" s="260"/>
      <c r="G179" s="260"/>
      <c r="H179" s="260"/>
      <c r="I179" s="260"/>
    </row>
    <row r="180" spans="1:9" x14ac:dyDescent="0.25">
      <c r="A180" s="794"/>
      <c r="B180" s="797"/>
      <c r="C180" s="191" t="s">
        <v>30</v>
      </c>
      <c r="D180" s="580" t="str">
        <f>IF(E180='Parametre - Agendové IS'!Q158,"OK","Chyba počtu FTE")</f>
        <v>OK</v>
      </c>
      <c r="E180" s="581">
        <f t="shared" si="5"/>
        <v>0</v>
      </c>
      <c r="F180" s="260"/>
      <c r="G180" s="260"/>
      <c r="H180" s="260"/>
      <c r="I180" s="260"/>
    </row>
    <row r="181" spans="1:9" x14ac:dyDescent="0.25">
      <c r="A181" s="794"/>
      <c r="B181" s="797"/>
      <c r="C181" s="191" t="s">
        <v>31</v>
      </c>
      <c r="D181" s="580" t="str">
        <f>IF(E181='Parametre - Agendové IS'!Q159,"OK","Chyba počtu FTE")</f>
        <v>OK</v>
      </c>
      <c r="E181" s="581">
        <f t="shared" si="5"/>
        <v>0</v>
      </c>
      <c r="F181" s="260"/>
      <c r="G181" s="260"/>
      <c r="H181" s="260"/>
      <c r="I181" s="260"/>
    </row>
    <row r="182" spans="1:9" x14ac:dyDescent="0.25">
      <c r="A182" s="794"/>
      <c r="B182" s="797"/>
      <c r="C182" s="191" t="s">
        <v>32</v>
      </c>
      <c r="D182" s="580" t="str">
        <f>IF(E182='Parametre - Agendové IS'!Q160,"OK","Chyba počtu FTE")</f>
        <v>OK</v>
      </c>
      <c r="E182" s="581">
        <f t="shared" si="5"/>
        <v>0</v>
      </c>
      <c r="F182" s="260"/>
      <c r="G182" s="260"/>
      <c r="H182" s="260"/>
      <c r="I182" s="260"/>
    </row>
    <row r="183" spans="1:9" x14ac:dyDescent="0.25">
      <c r="A183" s="794"/>
      <c r="B183" s="797"/>
      <c r="C183" s="191" t="s">
        <v>33</v>
      </c>
      <c r="D183" s="580" t="str">
        <f>IF(E183='Parametre - Agendové IS'!Q161,"OK","Chyba počtu FTE")</f>
        <v>OK</v>
      </c>
      <c r="E183" s="581">
        <f t="shared" si="5"/>
        <v>0</v>
      </c>
      <c r="F183" s="260"/>
      <c r="G183" s="260"/>
      <c r="H183" s="260"/>
      <c r="I183" s="260"/>
    </row>
    <row r="184" spans="1:9" ht="15.75" thickBot="1" x14ac:dyDescent="0.3">
      <c r="A184" s="794"/>
      <c r="B184" s="797"/>
      <c r="C184" s="191" t="s">
        <v>34</v>
      </c>
      <c r="D184" s="582" t="str">
        <f>IF(E184='Parametre - Agendové IS'!Q162,"OK","Chyba počtu FTE")</f>
        <v>OK</v>
      </c>
      <c r="E184" s="583">
        <f t="shared" si="5"/>
        <v>0</v>
      </c>
      <c r="F184" s="261"/>
      <c r="G184" s="261"/>
      <c r="H184" s="261"/>
      <c r="I184" s="261"/>
    </row>
    <row r="185" spans="1:9" x14ac:dyDescent="0.25">
      <c r="A185" s="793" t="s">
        <v>41</v>
      </c>
      <c r="B185" s="796" t="s">
        <v>37</v>
      </c>
      <c r="C185" s="194" t="s">
        <v>25</v>
      </c>
      <c r="D185" s="579" t="str">
        <f>IF(E185='Parametre - Agendové IS'!W67,"OK","Chyba počtu podaní")</f>
        <v>OK</v>
      </c>
      <c r="E185" s="584">
        <f t="shared" si="5"/>
        <v>12000</v>
      </c>
      <c r="F185" s="259">
        <v>12000</v>
      </c>
      <c r="G185" s="259"/>
      <c r="H185" s="259"/>
      <c r="I185" s="259"/>
    </row>
    <row r="186" spans="1:9" x14ac:dyDescent="0.25">
      <c r="A186" s="794"/>
      <c r="B186" s="797"/>
      <c r="C186" s="191" t="s">
        <v>26</v>
      </c>
      <c r="D186" s="580" t="s">
        <v>503</v>
      </c>
      <c r="E186" s="581">
        <f t="shared" si="5"/>
        <v>12000</v>
      </c>
      <c r="F186" s="260">
        <v>12000</v>
      </c>
      <c r="G186" s="260"/>
      <c r="H186" s="260"/>
      <c r="I186" s="260"/>
    </row>
    <row r="187" spans="1:9" x14ac:dyDescent="0.25">
      <c r="A187" s="794"/>
      <c r="B187" s="797"/>
      <c r="C187" s="191" t="s">
        <v>27</v>
      </c>
      <c r="D187" s="580" t="s">
        <v>503</v>
      </c>
      <c r="E187" s="581">
        <f t="shared" si="5"/>
        <v>12100</v>
      </c>
      <c r="F187" s="260">
        <v>12100</v>
      </c>
      <c r="G187" s="260"/>
      <c r="H187" s="260"/>
      <c r="I187" s="260"/>
    </row>
    <row r="188" spans="1:9" x14ac:dyDescent="0.25">
      <c r="A188" s="794"/>
      <c r="B188" s="797"/>
      <c r="C188" s="191" t="s">
        <v>28</v>
      </c>
      <c r="D188" s="580" t="s">
        <v>503</v>
      </c>
      <c r="E188" s="581">
        <f t="shared" si="5"/>
        <v>12200</v>
      </c>
      <c r="F188" s="260">
        <v>12200</v>
      </c>
      <c r="G188" s="260"/>
      <c r="H188" s="260"/>
      <c r="I188" s="260"/>
    </row>
    <row r="189" spans="1:9" x14ac:dyDescent="0.25">
      <c r="A189" s="794"/>
      <c r="B189" s="797"/>
      <c r="C189" s="191" t="s">
        <v>29</v>
      </c>
      <c r="D189" s="580" t="s">
        <v>503</v>
      </c>
      <c r="E189" s="581">
        <f t="shared" si="5"/>
        <v>12400</v>
      </c>
      <c r="F189" s="260">
        <v>12400</v>
      </c>
      <c r="G189" s="260"/>
      <c r="H189" s="260"/>
      <c r="I189" s="260"/>
    </row>
    <row r="190" spans="1:9" x14ac:dyDescent="0.25">
      <c r="A190" s="794"/>
      <c r="B190" s="797"/>
      <c r="C190" s="191" t="s">
        <v>30</v>
      </c>
      <c r="D190" s="580" t="s">
        <v>503</v>
      </c>
      <c r="E190" s="581">
        <f t="shared" si="5"/>
        <v>12300</v>
      </c>
      <c r="F190" s="260">
        <v>12300</v>
      </c>
      <c r="G190" s="260"/>
      <c r="H190" s="260"/>
      <c r="I190" s="260"/>
    </row>
    <row r="191" spans="1:9" x14ac:dyDescent="0.25">
      <c r="A191" s="794"/>
      <c r="B191" s="797"/>
      <c r="C191" s="191" t="s">
        <v>31</v>
      </c>
      <c r="D191" s="580" t="s">
        <v>503</v>
      </c>
      <c r="E191" s="581">
        <f t="shared" si="5"/>
        <v>12100</v>
      </c>
      <c r="F191" s="260">
        <v>12100</v>
      </c>
      <c r="G191" s="260"/>
      <c r="H191" s="260"/>
      <c r="I191" s="260"/>
    </row>
    <row r="192" spans="1:9" x14ac:dyDescent="0.25">
      <c r="A192" s="794"/>
      <c r="B192" s="797"/>
      <c r="C192" s="191" t="s">
        <v>32</v>
      </c>
      <c r="D192" s="580" t="s">
        <v>503</v>
      </c>
      <c r="E192" s="581">
        <f t="shared" si="5"/>
        <v>12000</v>
      </c>
      <c r="F192" s="260">
        <v>12000</v>
      </c>
      <c r="G192" s="260"/>
      <c r="H192" s="260"/>
      <c r="I192" s="260"/>
    </row>
    <row r="193" spans="1:9" x14ac:dyDescent="0.25">
      <c r="A193" s="794"/>
      <c r="B193" s="797"/>
      <c r="C193" s="191" t="s">
        <v>33</v>
      </c>
      <c r="D193" s="580" t="s">
        <v>503</v>
      </c>
      <c r="E193" s="581">
        <f t="shared" si="5"/>
        <v>11900</v>
      </c>
      <c r="F193" s="260">
        <v>11900</v>
      </c>
      <c r="G193" s="260"/>
      <c r="H193" s="260"/>
      <c r="I193" s="260"/>
    </row>
    <row r="194" spans="1:9" ht="15.75" thickBot="1" x14ac:dyDescent="0.3">
      <c r="A194" s="795"/>
      <c r="B194" s="798"/>
      <c r="C194" s="192" t="s">
        <v>34</v>
      </c>
      <c r="D194" s="580" t="s">
        <v>503</v>
      </c>
      <c r="E194" s="581">
        <f t="shared" si="5"/>
        <v>11800</v>
      </c>
      <c r="F194" s="260">
        <v>11800</v>
      </c>
      <c r="G194" s="260"/>
      <c r="H194" s="260"/>
      <c r="I194" s="260"/>
    </row>
    <row r="195" spans="1:9" x14ac:dyDescent="0.25">
      <c r="A195" s="793" t="s">
        <v>39</v>
      </c>
      <c r="B195" s="796" t="s">
        <v>13</v>
      </c>
      <c r="C195" s="194" t="s">
        <v>25</v>
      </c>
      <c r="D195" s="579" t="str">
        <f>IF(E195='Parametre - Agendové IS'!Q193,"OK","Chyba")</f>
        <v>OK</v>
      </c>
      <c r="E195" s="584">
        <f t="shared" si="5"/>
        <v>0</v>
      </c>
      <c r="F195" s="259"/>
      <c r="G195" s="259"/>
      <c r="H195" s="259"/>
      <c r="I195" s="259"/>
    </row>
    <row r="196" spans="1:9" x14ac:dyDescent="0.25">
      <c r="A196" s="794"/>
      <c r="B196" s="797"/>
      <c r="C196" s="191" t="s">
        <v>26</v>
      </c>
      <c r="D196" s="580" t="str">
        <f>IF(E196='Parametre - Agendové IS'!Q194,"OK","Chyba")</f>
        <v>OK</v>
      </c>
      <c r="E196" s="581">
        <f t="shared" si="5"/>
        <v>0</v>
      </c>
      <c r="F196" s="260"/>
      <c r="G196" s="260"/>
      <c r="H196" s="260"/>
      <c r="I196" s="260"/>
    </row>
    <row r="197" spans="1:9" x14ac:dyDescent="0.25">
      <c r="A197" s="794"/>
      <c r="B197" s="797"/>
      <c r="C197" s="191" t="s">
        <v>27</v>
      </c>
      <c r="D197" s="580" t="str">
        <f>IF(E197='Parametre - Agendové IS'!Q195,"OK","Chyba")</f>
        <v>OK</v>
      </c>
      <c r="E197" s="581">
        <f t="shared" si="5"/>
        <v>0</v>
      </c>
      <c r="F197" s="260"/>
      <c r="G197" s="260"/>
      <c r="H197" s="260"/>
      <c r="I197" s="260"/>
    </row>
    <row r="198" spans="1:9" x14ac:dyDescent="0.25">
      <c r="A198" s="794"/>
      <c r="B198" s="797"/>
      <c r="C198" s="191" t="s">
        <v>28</v>
      </c>
      <c r="D198" s="580" t="str">
        <f>IF(E198='Parametre - Agendové IS'!Q196,"OK","Chyba")</f>
        <v>OK</v>
      </c>
      <c r="E198" s="581">
        <f t="shared" si="5"/>
        <v>0</v>
      </c>
      <c r="F198" s="260"/>
      <c r="G198" s="260"/>
      <c r="H198" s="260"/>
      <c r="I198" s="260"/>
    </row>
    <row r="199" spans="1:9" x14ac:dyDescent="0.25">
      <c r="A199" s="794"/>
      <c r="B199" s="797"/>
      <c r="C199" s="191" t="s">
        <v>29</v>
      </c>
      <c r="D199" s="580" t="str">
        <f>IF(E199='Parametre - Agendové IS'!Q197,"OK","Chyba")</f>
        <v>OK</v>
      </c>
      <c r="E199" s="581">
        <f t="shared" si="5"/>
        <v>0</v>
      </c>
      <c r="F199" s="260"/>
      <c r="G199" s="260"/>
      <c r="H199" s="260"/>
      <c r="I199" s="260"/>
    </row>
    <row r="200" spans="1:9" x14ac:dyDescent="0.25">
      <c r="A200" s="794"/>
      <c r="B200" s="797"/>
      <c r="C200" s="191" t="s">
        <v>30</v>
      </c>
      <c r="D200" s="580" t="str">
        <f>IF(E200='Parametre - Agendové IS'!Q198,"OK","Chyba")</f>
        <v>OK</v>
      </c>
      <c r="E200" s="581">
        <f t="shared" si="5"/>
        <v>0</v>
      </c>
      <c r="F200" s="260"/>
      <c r="G200" s="260"/>
      <c r="H200" s="260"/>
      <c r="I200" s="260"/>
    </row>
    <row r="201" spans="1:9" x14ac:dyDescent="0.25">
      <c r="A201" s="794"/>
      <c r="B201" s="797"/>
      <c r="C201" s="191" t="s">
        <v>31</v>
      </c>
      <c r="D201" s="580" t="str">
        <f>IF(E201='Parametre - Agendové IS'!Q199,"OK","Chyba")</f>
        <v>OK</v>
      </c>
      <c r="E201" s="581">
        <f t="shared" si="5"/>
        <v>0</v>
      </c>
      <c r="F201" s="260"/>
      <c r="G201" s="260"/>
      <c r="H201" s="260"/>
      <c r="I201" s="260"/>
    </row>
    <row r="202" spans="1:9" x14ac:dyDescent="0.25">
      <c r="A202" s="794"/>
      <c r="B202" s="797"/>
      <c r="C202" s="191" t="s">
        <v>32</v>
      </c>
      <c r="D202" s="580" t="str">
        <f>IF(E202='Parametre - Agendové IS'!Q200,"OK","Chyba")</f>
        <v>OK</v>
      </c>
      <c r="E202" s="581">
        <f t="shared" si="5"/>
        <v>0</v>
      </c>
      <c r="F202" s="260"/>
      <c r="G202" s="260"/>
      <c r="H202" s="260"/>
      <c r="I202" s="260"/>
    </row>
    <row r="203" spans="1:9" x14ac:dyDescent="0.25">
      <c r="A203" s="794"/>
      <c r="B203" s="797"/>
      <c r="C203" s="191" t="s">
        <v>33</v>
      </c>
      <c r="D203" s="580" t="str">
        <f>IF(E203='Parametre - Agendové IS'!Q201,"OK","Chyba")</f>
        <v>OK</v>
      </c>
      <c r="E203" s="581">
        <f t="shared" si="5"/>
        <v>0</v>
      </c>
      <c r="F203" s="260"/>
      <c r="G203" s="260"/>
      <c r="H203" s="260"/>
      <c r="I203" s="260"/>
    </row>
    <row r="204" spans="1:9" ht="15.75" thickBot="1" x14ac:dyDescent="0.3">
      <c r="A204" s="795"/>
      <c r="B204" s="798"/>
      <c r="C204" s="192" t="s">
        <v>34</v>
      </c>
      <c r="D204" s="580" t="str">
        <f>IF(E204='Parametre - Agendové IS'!Q202,"OK","Chyba")</f>
        <v>OK</v>
      </c>
      <c r="E204" s="581">
        <f t="shared" si="5"/>
        <v>0</v>
      </c>
      <c r="F204" s="260"/>
      <c r="G204" s="260"/>
      <c r="H204" s="260"/>
      <c r="I204" s="260"/>
    </row>
    <row r="205" spans="1:9" ht="15.75" thickBot="1" x14ac:dyDescent="0.3"/>
    <row r="206" spans="1:9" x14ac:dyDescent="0.25">
      <c r="A206" s="807" t="str">
        <f>'Parametre - Agendové IS'!Y1</f>
        <v>Modul 7 Modul pre elektronické zasielanie stanovísk a vyjadrení</v>
      </c>
      <c r="B206" s="808"/>
      <c r="C206" s="809"/>
      <c r="D206" s="805" t="s">
        <v>107</v>
      </c>
      <c r="E206" s="806"/>
      <c r="F206" s="356" t="s">
        <v>170</v>
      </c>
      <c r="G206" s="356" t="s">
        <v>171</v>
      </c>
      <c r="H206" s="356" t="s">
        <v>172</v>
      </c>
      <c r="I206" s="356" t="s">
        <v>174</v>
      </c>
    </row>
    <row r="207" spans="1:9" ht="15.75" thickBot="1" x14ac:dyDescent="0.3">
      <c r="A207" s="810"/>
      <c r="B207" s="811"/>
      <c r="C207" s="812"/>
      <c r="D207" s="576" t="s">
        <v>364</v>
      </c>
      <c r="E207" s="577" t="s">
        <v>173</v>
      </c>
      <c r="F207" s="193" t="s">
        <v>173</v>
      </c>
      <c r="G207" s="193" t="s">
        <v>173</v>
      </c>
      <c r="H207" s="193" t="s">
        <v>173</v>
      </c>
      <c r="I207" s="193" t="s">
        <v>173</v>
      </c>
    </row>
    <row r="208" spans="1:9" x14ac:dyDescent="0.25">
      <c r="A208" s="793" t="s">
        <v>43</v>
      </c>
      <c r="B208" s="796" t="s">
        <v>191</v>
      </c>
      <c r="C208" s="194" t="s">
        <v>25</v>
      </c>
      <c r="D208" s="578" t="str">
        <f>IF(E208='Parametre - Agendové IS'!Q186,"OK","Chyba počtu FTE")</f>
        <v>OK</v>
      </c>
      <c r="E208" s="579">
        <f t="shared" ref="E208:E237" si="6">F208+G208+H208+I208</f>
        <v>0</v>
      </c>
      <c r="F208" s="259"/>
      <c r="G208" s="259"/>
      <c r="H208" s="259"/>
      <c r="I208" s="259"/>
    </row>
    <row r="209" spans="1:9" x14ac:dyDescent="0.25">
      <c r="A209" s="794"/>
      <c r="B209" s="797"/>
      <c r="C209" s="191" t="s">
        <v>26</v>
      </c>
      <c r="D209" s="580" t="str">
        <f>IF(E209='Parametre - Agendové IS'!Q187,"OK","Chyba počtu FTE")</f>
        <v>OK</v>
      </c>
      <c r="E209" s="581">
        <f t="shared" si="6"/>
        <v>0</v>
      </c>
      <c r="F209" s="260"/>
      <c r="G209" s="260"/>
      <c r="H209" s="260"/>
      <c r="I209" s="260"/>
    </row>
    <row r="210" spans="1:9" x14ac:dyDescent="0.25">
      <c r="A210" s="794"/>
      <c r="B210" s="797"/>
      <c r="C210" s="191" t="s">
        <v>27</v>
      </c>
      <c r="D210" s="580" t="str">
        <f>IF(E210='Parametre - Agendové IS'!Q188,"OK","Chyba počtu FTE")</f>
        <v>OK</v>
      </c>
      <c r="E210" s="581">
        <f t="shared" si="6"/>
        <v>0</v>
      </c>
      <c r="F210" s="260"/>
      <c r="G210" s="260"/>
      <c r="H210" s="260"/>
      <c r="I210" s="260"/>
    </row>
    <row r="211" spans="1:9" x14ac:dyDescent="0.25">
      <c r="A211" s="794"/>
      <c r="B211" s="797"/>
      <c r="C211" s="191" t="s">
        <v>28</v>
      </c>
      <c r="D211" s="580" t="str">
        <f>IF(E211='Parametre - Agendové IS'!Q189,"OK","Chyba počtu FTE")</f>
        <v>OK</v>
      </c>
      <c r="E211" s="581">
        <f t="shared" si="6"/>
        <v>0</v>
      </c>
      <c r="F211" s="260"/>
      <c r="G211" s="260"/>
      <c r="H211" s="260"/>
      <c r="I211" s="260"/>
    </row>
    <row r="212" spans="1:9" x14ac:dyDescent="0.25">
      <c r="A212" s="794"/>
      <c r="B212" s="797"/>
      <c r="C212" s="191" t="s">
        <v>29</v>
      </c>
      <c r="D212" s="580" t="str">
        <f>IF(E212='Parametre - Agendové IS'!Q190,"OK","Chyba počtu FTE")</f>
        <v>OK</v>
      </c>
      <c r="E212" s="581">
        <f t="shared" si="6"/>
        <v>0</v>
      </c>
      <c r="F212" s="260"/>
      <c r="G212" s="260"/>
      <c r="H212" s="260"/>
      <c r="I212" s="260"/>
    </row>
    <row r="213" spans="1:9" x14ac:dyDescent="0.25">
      <c r="A213" s="794"/>
      <c r="B213" s="797"/>
      <c r="C213" s="191" t="s">
        <v>30</v>
      </c>
      <c r="D213" s="580" t="str">
        <f>IF(E213='Parametre - Agendové IS'!Q191,"OK","Chyba počtu FTE")</f>
        <v>OK</v>
      </c>
      <c r="E213" s="581">
        <f t="shared" si="6"/>
        <v>0</v>
      </c>
      <c r="F213" s="260"/>
      <c r="G213" s="260"/>
      <c r="H213" s="260"/>
      <c r="I213" s="260"/>
    </row>
    <row r="214" spans="1:9" x14ac:dyDescent="0.25">
      <c r="A214" s="794"/>
      <c r="B214" s="797"/>
      <c r="C214" s="191" t="s">
        <v>31</v>
      </c>
      <c r="D214" s="580" t="str">
        <f>IF(E214='Parametre - Agendové IS'!Q192,"OK","Chyba počtu FTE")</f>
        <v>OK</v>
      </c>
      <c r="E214" s="581">
        <f t="shared" si="6"/>
        <v>0</v>
      </c>
      <c r="F214" s="260"/>
      <c r="G214" s="260"/>
      <c r="H214" s="260"/>
      <c r="I214" s="260"/>
    </row>
    <row r="215" spans="1:9" x14ac:dyDescent="0.25">
      <c r="A215" s="794"/>
      <c r="B215" s="797"/>
      <c r="C215" s="191" t="s">
        <v>32</v>
      </c>
      <c r="D215" s="580" t="str">
        <f>IF(E215='Parametre - Agendové IS'!Q193,"OK","Chyba počtu FTE")</f>
        <v>OK</v>
      </c>
      <c r="E215" s="581">
        <f t="shared" si="6"/>
        <v>0</v>
      </c>
      <c r="F215" s="260"/>
      <c r="G215" s="260"/>
      <c r="H215" s="260"/>
      <c r="I215" s="260"/>
    </row>
    <row r="216" spans="1:9" x14ac:dyDescent="0.25">
      <c r="A216" s="794"/>
      <c r="B216" s="797"/>
      <c r="C216" s="191" t="s">
        <v>33</v>
      </c>
      <c r="D216" s="580" t="str">
        <f>IF(E216='Parametre - Agendové IS'!Q194,"OK","Chyba počtu FTE")</f>
        <v>OK</v>
      </c>
      <c r="E216" s="581">
        <f t="shared" si="6"/>
        <v>0</v>
      </c>
      <c r="F216" s="260"/>
      <c r="G216" s="260"/>
      <c r="H216" s="260"/>
      <c r="I216" s="260"/>
    </row>
    <row r="217" spans="1:9" ht="15.75" thickBot="1" x14ac:dyDescent="0.3">
      <c r="A217" s="794"/>
      <c r="B217" s="797"/>
      <c r="C217" s="191" t="s">
        <v>34</v>
      </c>
      <c r="D217" s="582" t="str">
        <f>IF(E217='Parametre - Agendové IS'!Q195,"OK","Chyba počtu FTE")</f>
        <v>OK</v>
      </c>
      <c r="E217" s="583">
        <f t="shared" si="6"/>
        <v>0</v>
      </c>
      <c r="F217" s="261"/>
      <c r="G217" s="261"/>
      <c r="H217" s="261"/>
      <c r="I217" s="261"/>
    </row>
    <row r="218" spans="1:9" x14ac:dyDescent="0.25">
      <c r="A218" s="793" t="s">
        <v>41</v>
      </c>
      <c r="B218" s="796" t="s">
        <v>37</v>
      </c>
      <c r="C218" s="194" t="s">
        <v>25</v>
      </c>
      <c r="D218" s="579" t="str">
        <f>IF(E218='Parametre - Agendové IS'!Z67,"OK","Chyba počtu podaní")</f>
        <v>OK</v>
      </c>
      <c r="E218" s="584">
        <f t="shared" si="6"/>
        <v>42650</v>
      </c>
      <c r="F218" s="259">
        <v>42650</v>
      </c>
      <c r="G218" s="259"/>
      <c r="H218" s="259"/>
      <c r="I218" s="259"/>
    </row>
    <row r="219" spans="1:9" x14ac:dyDescent="0.25">
      <c r="A219" s="794"/>
      <c r="B219" s="797"/>
      <c r="C219" s="191" t="s">
        <v>26</v>
      </c>
      <c r="D219" s="580" t="s">
        <v>503</v>
      </c>
      <c r="E219" s="581">
        <f t="shared" si="6"/>
        <v>43280</v>
      </c>
      <c r="F219" s="260">
        <v>43280</v>
      </c>
      <c r="G219" s="260"/>
      <c r="H219" s="260"/>
      <c r="I219" s="260"/>
    </row>
    <row r="220" spans="1:9" x14ac:dyDescent="0.25">
      <c r="A220" s="794"/>
      <c r="B220" s="797"/>
      <c r="C220" s="191" t="s">
        <v>27</v>
      </c>
      <c r="D220" s="580" t="s">
        <v>503</v>
      </c>
      <c r="E220" s="581">
        <f t="shared" si="6"/>
        <v>43150</v>
      </c>
      <c r="F220" s="260">
        <v>43150</v>
      </c>
      <c r="G220" s="260"/>
      <c r="H220" s="260"/>
      <c r="I220" s="260"/>
    </row>
    <row r="221" spans="1:9" x14ac:dyDescent="0.25">
      <c r="A221" s="794"/>
      <c r="B221" s="797"/>
      <c r="C221" s="191" t="s">
        <v>28</v>
      </c>
      <c r="D221" s="580" t="s">
        <v>503</v>
      </c>
      <c r="E221" s="581">
        <f t="shared" si="6"/>
        <v>43480</v>
      </c>
      <c r="F221" s="260">
        <v>43480</v>
      </c>
      <c r="G221" s="260"/>
      <c r="H221" s="260"/>
      <c r="I221" s="260"/>
    </row>
    <row r="222" spans="1:9" x14ac:dyDescent="0.25">
      <c r="A222" s="794"/>
      <c r="B222" s="797"/>
      <c r="C222" s="191" t="s">
        <v>29</v>
      </c>
      <c r="D222" s="580" t="s">
        <v>503</v>
      </c>
      <c r="E222" s="581">
        <f t="shared" si="6"/>
        <v>44500</v>
      </c>
      <c r="F222" s="260">
        <v>44500</v>
      </c>
      <c r="G222" s="260"/>
      <c r="H222" s="260"/>
      <c r="I222" s="260"/>
    </row>
    <row r="223" spans="1:9" x14ac:dyDescent="0.25">
      <c r="A223" s="794"/>
      <c r="B223" s="797"/>
      <c r="C223" s="191" t="s">
        <v>30</v>
      </c>
      <c r="D223" s="580" t="s">
        <v>503</v>
      </c>
      <c r="E223" s="581">
        <f t="shared" si="6"/>
        <v>44500</v>
      </c>
      <c r="F223" s="260">
        <v>44500</v>
      </c>
      <c r="G223" s="260"/>
      <c r="H223" s="260"/>
      <c r="I223" s="260"/>
    </row>
    <row r="224" spans="1:9" x14ac:dyDescent="0.25">
      <c r="A224" s="794"/>
      <c r="B224" s="797"/>
      <c r="C224" s="191" t="s">
        <v>31</v>
      </c>
      <c r="D224" s="580" t="s">
        <v>503</v>
      </c>
      <c r="E224" s="581">
        <f t="shared" si="6"/>
        <v>44600</v>
      </c>
      <c r="F224" s="260">
        <v>44600</v>
      </c>
      <c r="G224" s="260"/>
      <c r="H224" s="260"/>
      <c r="I224" s="260"/>
    </row>
    <row r="225" spans="1:9" x14ac:dyDescent="0.25">
      <c r="A225" s="794"/>
      <c r="B225" s="797"/>
      <c r="C225" s="191" t="s">
        <v>32</v>
      </c>
      <c r="D225" s="580" t="s">
        <v>503</v>
      </c>
      <c r="E225" s="581">
        <f t="shared" si="6"/>
        <v>44800</v>
      </c>
      <c r="F225" s="260">
        <v>44800</v>
      </c>
      <c r="G225" s="260"/>
      <c r="H225" s="260"/>
      <c r="I225" s="260"/>
    </row>
    <row r="226" spans="1:9" x14ac:dyDescent="0.25">
      <c r="A226" s="794"/>
      <c r="B226" s="797"/>
      <c r="C226" s="191" t="s">
        <v>33</v>
      </c>
      <c r="D226" s="580" t="s">
        <v>503</v>
      </c>
      <c r="E226" s="581">
        <f t="shared" si="6"/>
        <v>44980</v>
      </c>
      <c r="F226" s="260">
        <v>44980</v>
      </c>
      <c r="G226" s="260"/>
      <c r="H226" s="260"/>
      <c r="I226" s="260"/>
    </row>
    <row r="227" spans="1:9" ht="15.75" thickBot="1" x14ac:dyDescent="0.3">
      <c r="A227" s="795"/>
      <c r="B227" s="798"/>
      <c r="C227" s="192" t="s">
        <v>34</v>
      </c>
      <c r="D227" s="580" t="s">
        <v>503</v>
      </c>
      <c r="E227" s="581">
        <f t="shared" si="6"/>
        <v>44980</v>
      </c>
      <c r="F227" s="260">
        <v>44980</v>
      </c>
      <c r="G227" s="260"/>
      <c r="H227" s="260"/>
      <c r="I227" s="260"/>
    </row>
    <row r="228" spans="1:9" x14ac:dyDescent="0.25">
      <c r="A228" s="793" t="s">
        <v>39</v>
      </c>
      <c r="B228" s="796" t="s">
        <v>13</v>
      </c>
      <c r="C228" s="194" t="s">
        <v>25</v>
      </c>
      <c r="D228" s="579" t="str">
        <f>IF(E228='Parametre - Agendové IS'!Q226,"OK","Chyba")</f>
        <v>OK</v>
      </c>
      <c r="E228" s="584">
        <f t="shared" si="6"/>
        <v>0</v>
      </c>
      <c r="F228" s="259"/>
      <c r="G228" s="259"/>
      <c r="H228" s="259"/>
      <c r="I228" s="259"/>
    </row>
    <row r="229" spans="1:9" x14ac:dyDescent="0.25">
      <c r="A229" s="794"/>
      <c r="B229" s="797"/>
      <c r="C229" s="191" t="s">
        <v>26</v>
      </c>
      <c r="D229" s="580" t="str">
        <f>IF(E229='Parametre - Agendové IS'!Q227,"OK","Chyba")</f>
        <v>OK</v>
      </c>
      <c r="E229" s="581">
        <f t="shared" si="6"/>
        <v>0</v>
      </c>
      <c r="F229" s="260"/>
      <c r="G229" s="260"/>
      <c r="H229" s="260"/>
      <c r="I229" s="260"/>
    </row>
    <row r="230" spans="1:9" x14ac:dyDescent="0.25">
      <c r="A230" s="794"/>
      <c r="B230" s="797"/>
      <c r="C230" s="191" t="s">
        <v>27</v>
      </c>
      <c r="D230" s="580" t="str">
        <f>IF(E230='Parametre - Agendové IS'!Q228,"OK","Chyba")</f>
        <v>OK</v>
      </c>
      <c r="E230" s="581">
        <f t="shared" si="6"/>
        <v>0</v>
      </c>
      <c r="F230" s="260"/>
      <c r="G230" s="260"/>
      <c r="H230" s="260"/>
      <c r="I230" s="260"/>
    </row>
    <row r="231" spans="1:9" x14ac:dyDescent="0.25">
      <c r="A231" s="794"/>
      <c r="B231" s="797"/>
      <c r="C231" s="191" t="s">
        <v>28</v>
      </c>
      <c r="D231" s="580" t="str">
        <f>IF(E231='Parametre - Agendové IS'!Q229,"OK","Chyba")</f>
        <v>OK</v>
      </c>
      <c r="E231" s="581">
        <f t="shared" si="6"/>
        <v>0</v>
      </c>
      <c r="F231" s="260"/>
      <c r="G231" s="260"/>
      <c r="H231" s="260"/>
      <c r="I231" s="260"/>
    </row>
    <row r="232" spans="1:9" x14ac:dyDescent="0.25">
      <c r="A232" s="794"/>
      <c r="B232" s="797"/>
      <c r="C232" s="191" t="s">
        <v>29</v>
      </c>
      <c r="D232" s="580" t="str">
        <f>IF(E232='Parametre - Agendové IS'!Q230,"OK","Chyba")</f>
        <v>OK</v>
      </c>
      <c r="E232" s="581">
        <f t="shared" si="6"/>
        <v>0</v>
      </c>
      <c r="F232" s="260"/>
      <c r="G232" s="260"/>
      <c r="H232" s="260"/>
      <c r="I232" s="260"/>
    </row>
    <row r="233" spans="1:9" x14ac:dyDescent="0.25">
      <c r="A233" s="794"/>
      <c r="B233" s="797"/>
      <c r="C233" s="191" t="s">
        <v>30</v>
      </c>
      <c r="D233" s="580" t="str">
        <f>IF(E233='Parametre - Agendové IS'!Q231,"OK","Chyba")</f>
        <v>OK</v>
      </c>
      <c r="E233" s="581">
        <f t="shared" si="6"/>
        <v>0</v>
      </c>
      <c r="F233" s="260"/>
      <c r="G233" s="260"/>
      <c r="H233" s="260"/>
      <c r="I233" s="260"/>
    </row>
    <row r="234" spans="1:9" x14ac:dyDescent="0.25">
      <c r="A234" s="794"/>
      <c r="B234" s="797"/>
      <c r="C234" s="191" t="s">
        <v>31</v>
      </c>
      <c r="D234" s="580" t="str">
        <f>IF(E234='Parametre - Agendové IS'!Q232,"OK","Chyba")</f>
        <v>OK</v>
      </c>
      <c r="E234" s="581">
        <f t="shared" si="6"/>
        <v>0</v>
      </c>
      <c r="F234" s="260"/>
      <c r="G234" s="260"/>
      <c r="H234" s="260"/>
      <c r="I234" s="260"/>
    </row>
    <row r="235" spans="1:9" x14ac:dyDescent="0.25">
      <c r="A235" s="794"/>
      <c r="B235" s="797"/>
      <c r="C235" s="191" t="s">
        <v>32</v>
      </c>
      <c r="D235" s="580" t="str">
        <f>IF(E235='Parametre - Agendové IS'!Q233,"OK","Chyba")</f>
        <v>OK</v>
      </c>
      <c r="E235" s="581">
        <f t="shared" si="6"/>
        <v>0</v>
      </c>
      <c r="F235" s="260"/>
      <c r="G235" s="260"/>
      <c r="H235" s="260"/>
      <c r="I235" s="260"/>
    </row>
    <row r="236" spans="1:9" x14ac:dyDescent="0.25">
      <c r="A236" s="794"/>
      <c r="B236" s="797"/>
      <c r="C236" s="191" t="s">
        <v>33</v>
      </c>
      <c r="D236" s="580" t="str">
        <f>IF(E236='Parametre - Agendové IS'!Q234,"OK","Chyba")</f>
        <v>OK</v>
      </c>
      <c r="E236" s="581">
        <f t="shared" si="6"/>
        <v>0</v>
      </c>
      <c r="F236" s="260"/>
      <c r="G236" s="260"/>
      <c r="H236" s="260"/>
      <c r="I236" s="260"/>
    </row>
    <row r="237" spans="1:9" ht="15.75" thickBot="1" x14ac:dyDescent="0.3">
      <c r="A237" s="795"/>
      <c r="B237" s="798"/>
      <c r="C237" s="192" t="s">
        <v>34</v>
      </c>
      <c r="D237" s="580" t="str">
        <f>IF(E237='Parametre - Agendové IS'!Q235,"OK","Chyba")</f>
        <v>OK</v>
      </c>
      <c r="E237" s="581">
        <f t="shared" si="6"/>
        <v>0</v>
      </c>
      <c r="F237" s="260"/>
      <c r="G237" s="260"/>
      <c r="H237" s="260"/>
      <c r="I237" s="260"/>
    </row>
    <row r="239" spans="1:9" x14ac:dyDescent="0.25">
      <c r="D239" t="s">
        <v>165</v>
      </c>
    </row>
  </sheetData>
  <mergeCells count="56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A162:A171"/>
    <mergeCell ref="B162:B171"/>
    <mergeCell ref="A140:C141"/>
    <mergeCell ref="D140:E140"/>
    <mergeCell ref="A142:A151"/>
    <mergeCell ref="B142:B151"/>
    <mergeCell ref="A152:A161"/>
    <mergeCell ref="B152:B161"/>
    <mergeCell ref="A228:A237"/>
    <mergeCell ref="B228:B237"/>
    <mergeCell ref="A173:C174"/>
    <mergeCell ref="D173:E173"/>
    <mergeCell ref="A175:A184"/>
    <mergeCell ref="B175:B184"/>
    <mergeCell ref="A206:C207"/>
    <mergeCell ref="D206:E206"/>
    <mergeCell ref="A208:A217"/>
    <mergeCell ref="B208:B217"/>
    <mergeCell ref="A218:A227"/>
    <mergeCell ref="B218:B227"/>
    <mergeCell ref="A185:A194"/>
    <mergeCell ref="B185:B194"/>
    <mergeCell ref="A195:A204"/>
    <mergeCell ref="B195:B204"/>
  </mergeCells>
  <pageMargins left="0.7" right="0.7" top="0.75" bottom="0.75" header="0.3" footer="0.3"/>
  <pageSetup paperSize="9" scale="35" orientation="portrait" r:id="rId1"/>
  <rowBreaks count="1" manualBreakCount="1"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user</cp:lastModifiedBy>
  <cp:lastPrinted>2018-08-24T09:21:09Z</cp:lastPrinted>
  <dcterms:created xsi:type="dcterms:W3CDTF">2015-01-29T13:50:20Z</dcterms:created>
  <dcterms:modified xsi:type="dcterms:W3CDTF">2020-01-08T09:47:57Z</dcterms:modified>
</cp:coreProperties>
</file>